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eğerler%5,0" sheetId="1" r:id="rId1"/>
    <sheet name="Değerler%6,5" sheetId="2" r:id="rId2"/>
    <sheet name="Değerler%7,0" sheetId="3" r:id="rId3"/>
    <sheet name="Tesisdönemi_ağaçdeğeri" sheetId="4" r:id="rId4"/>
  </sheets>
  <definedNames/>
  <calcPr fullCalcOnLoad="1"/>
</workbook>
</file>

<file path=xl/sharedStrings.xml><?xml version="1.0" encoding="utf-8"?>
<sst xmlns="http://schemas.openxmlformats.org/spreadsheetml/2006/main" count="167" uniqueCount="58">
  <si>
    <t>Dönemler</t>
  </si>
  <si>
    <t>Yaş</t>
  </si>
  <si>
    <t>Verim</t>
  </si>
  <si>
    <t>Ortalama
Ürün 
Fiyatı</t>
  </si>
  <si>
    <t>Brüt
Üretim
Değeri</t>
  </si>
  <si>
    <t>Tesis
ve
Üretim
Masrafı</t>
  </si>
  <si>
    <t>Rant
R</t>
  </si>
  <si>
    <t>toplam</t>
  </si>
  <si>
    <t>kg</t>
  </si>
  <si>
    <t>adet</t>
  </si>
  <si>
    <t>Tesis</t>
  </si>
  <si>
    <t>10 yaş</t>
  </si>
  <si>
    <t>Artış</t>
  </si>
  <si>
    <t>Normal Üretim</t>
  </si>
  <si>
    <t>Azalış</t>
  </si>
  <si>
    <t>Tesisin 
Yaşı</t>
  </si>
  <si>
    <t>Yıla Düşen
Tesis Masrafları</t>
  </si>
  <si>
    <t>Arazi
Kirası</t>
  </si>
  <si>
    <t>Ara
Toplam</t>
  </si>
  <si>
    <t>Yıllık Toplam
Masraf
(indirgenmiş değerler)</t>
  </si>
  <si>
    <t>yıl</t>
  </si>
  <si>
    <t>Arazi Kirası Dahil Masraf</t>
  </si>
  <si>
    <t>15 yaş</t>
  </si>
  <si>
    <t>yaş</t>
  </si>
  <si>
    <t>TL</t>
  </si>
  <si>
    <t>TL/da</t>
  </si>
  <si>
    <t>TL/kg</t>
  </si>
  <si>
    <t>5 yaş</t>
  </si>
  <si>
    <t>6 yaş</t>
  </si>
  <si>
    <t>7 yaş</t>
  </si>
  <si>
    <t>8 yaş</t>
  </si>
  <si>
    <t>9 yaş</t>
  </si>
  <si>
    <t>11 yaş</t>
  </si>
  <si>
    <t>12 yaş</t>
  </si>
  <si>
    <t>13 yaş</t>
  </si>
  <si>
    <t>14 yaş</t>
  </si>
  <si>
    <t>TL/adet</t>
  </si>
  <si>
    <r>
      <t>q</t>
    </r>
    <r>
      <rPr>
        <b/>
        <vertAlign val="superscript"/>
        <sz val="9"/>
        <rFont val="Calibri"/>
        <family val="2"/>
      </rPr>
      <t>n</t>
    </r>
  </si>
  <si>
    <r>
      <t>R.q</t>
    </r>
    <r>
      <rPr>
        <b/>
        <vertAlign val="superscript"/>
        <sz val="9"/>
        <rFont val="Calibri"/>
        <family val="2"/>
      </rPr>
      <t>n</t>
    </r>
  </si>
  <si>
    <r>
      <t>A-Arazi Rantı (SR.q</t>
    </r>
    <r>
      <rPr>
        <vertAlign val="superscript"/>
        <sz val="9"/>
        <rFont val="Calibri"/>
        <family val="2"/>
      </rPr>
      <t>n</t>
    </r>
    <r>
      <rPr>
        <sz val="9"/>
        <rFont val="Calibri"/>
        <family val="2"/>
      </rPr>
      <t>)</t>
    </r>
  </si>
  <si>
    <r>
      <t>C-Çıplak Toprak Değeri (D</t>
    </r>
    <r>
      <rPr>
        <vertAlign val="subscript"/>
        <sz val="9"/>
        <rFont val="Calibri"/>
        <family val="2"/>
      </rPr>
      <t>0</t>
    </r>
    <r>
      <rPr>
        <sz val="9"/>
        <rFont val="Calibri"/>
        <family val="2"/>
      </rPr>
      <t>)    (AxB)</t>
    </r>
  </si>
  <si>
    <r>
      <t>D-Yıla Düşen Değerler Formülü (f/(q</t>
    </r>
    <r>
      <rPr>
        <vertAlign val="superscript"/>
        <sz val="9"/>
        <rFont val="Calibri"/>
        <family val="2"/>
      </rPr>
      <t>n</t>
    </r>
    <r>
      <rPr>
        <sz val="9"/>
        <rFont val="Calibri"/>
        <family val="2"/>
      </rPr>
      <t xml:space="preserve"> -1))</t>
    </r>
  </si>
  <si>
    <r>
      <t>B-Periyodik Gelirlerin Kapitalizasyonu Formülü (1/q</t>
    </r>
    <r>
      <rPr>
        <vertAlign val="superscript"/>
        <sz val="9"/>
        <rFont val="Calibri"/>
        <family val="2"/>
      </rPr>
      <t>n</t>
    </r>
    <r>
      <rPr>
        <sz val="9"/>
        <rFont val="Calibri"/>
        <family val="2"/>
      </rPr>
      <t>-1)  (% 6,5 için)</t>
    </r>
  </si>
  <si>
    <t>Dekardaki Ortalama 
Ağaç
Sayısı</t>
  </si>
  <si>
    <t>Ağaç
Başına
Değer</t>
  </si>
  <si>
    <t xml:space="preserve">Bir Ağacın 
Değeri
</t>
  </si>
  <si>
    <t>Ağaç Kaplı Değer</t>
  </si>
  <si>
    <t>ağaç
başına</t>
  </si>
  <si>
    <t>Toplam
Ağaç
Sayısı</t>
  </si>
  <si>
    <t>Tablo 3.Proje Güzergahındaki Şeftali Bahçelerinin Değerine İlişkin Hesaplamalar</t>
  </si>
  <si>
    <t>E-Şeftali Bahçesinin Yıllık Net Geliri (TL/da) (AxD)</t>
  </si>
  <si>
    <t>Farklı Yaşlarda Şeftali Bahçesinin Tesis ve Birim Ağaç Değerleri</t>
  </si>
  <si>
    <t>7-16</t>
  </si>
  <si>
    <r>
      <t>B-Periyodik Gelirlerin Kapitalizasyonu Formülü (1/q</t>
    </r>
    <r>
      <rPr>
        <vertAlign val="superscript"/>
        <sz val="9"/>
        <rFont val="Calibri"/>
        <family val="2"/>
      </rPr>
      <t>n</t>
    </r>
    <r>
      <rPr>
        <sz val="9"/>
        <rFont val="Calibri"/>
        <family val="2"/>
      </rPr>
      <t>-1)  (% 7,0 için)</t>
    </r>
  </si>
  <si>
    <t>Ek Çizelge . Tesis Dönemindeki Ağaçlar İçin Maliyeti Üzerinden Hesaplanan Birim Değerleri (f=0,065 için)</t>
  </si>
  <si>
    <t>% 6,5 kapitalizasyon oranına göre</t>
  </si>
  <si>
    <r>
      <t>B-Periyodik Gelirlerin Kapitalizasyonu Formülü (1/q</t>
    </r>
    <r>
      <rPr>
        <vertAlign val="superscript"/>
        <sz val="9"/>
        <rFont val="Calibri"/>
        <family val="2"/>
      </rPr>
      <t>n</t>
    </r>
    <r>
      <rPr>
        <sz val="9"/>
        <rFont val="Calibri"/>
        <family val="2"/>
      </rPr>
      <t>-1)  (% 5,0 için)</t>
    </r>
  </si>
  <si>
    <t xml:space="preserve">   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</si>
</sst>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000"/>
    <numFmt numFmtId="173" formatCode="0.0%"/>
    <numFmt numFmtId="174" formatCode="#,##0.0"/>
    <numFmt numFmtId="175" formatCode="0.0000000"/>
    <numFmt numFmtId="176" formatCode="0.000000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9"/>
      <name val="Franklin Gothic Medium"/>
      <family val="2"/>
    </font>
    <font>
      <b/>
      <sz val="9"/>
      <name val="Franklin Gothic Medium"/>
      <family val="2"/>
    </font>
    <font>
      <sz val="10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vertAlign val="superscript"/>
      <sz val="9"/>
      <name val="Calibri"/>
      <family val="2"/>
    </font>
    <font>
      <vertAlign val="subscript"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7" borderId="6" applyNumberFormat="0" applyAlignment="0" applyProtection="0"/>
    <xf numFmtId="0" fontId="25" fillId="16" borderId="6" applyNumberFormat="0" applyAlignment="0" applyProtection="0"/>
    <xf numFmtId="0" fontId="26" fillId="17" borderId="7" applyNumberFormat="0" applyAlignment="0" applyProtection="0"/>
    <xf numFmtId="0" fontId="27" fillId="4" borderId="0" applyNumberFormat="0" applyBorder="0" applyAlignment="0" applyProtection="0"/>
    <xf numFmtId="0" fontId="28" fillId="3" borderId="0" applyNumberFormat="0" applyBorder="0" applyAlignment="0" applyProtection="0"/>
    <xf numFmtId="0" fontId="0" fillId="18" borderId="8" applyNumberFormat="0" applyFont="0" applyAlignment="0" applyProtection="0"/>
    <xf numFmtId="0" fontId="2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172" fontId="8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175" fontId="8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75" fontId="8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2" fontId="5" fillId="24" borderId="10" xfId="0" applyNumberFormat="1" applyFont="1" applyFill="1" applyBorder="1" applyAlignment="1">
      <alignment/>
    </xf>
    <xf numFmtId="1" fontId="8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right" vertical="center"/>
    </xf>
    <xf numFmtId="4" fontId="8" fillId="25" borderId="10" xfId="0" applyNumberFormat="1" applyFont="1" applyFill="1" applyBorder="1" applyAlignment="1">
      <alignment horizontal="right"/>
    </xf>
    <xf numFmtId="0" fontId="3" fillId="25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25" borderId="0" xfId="0" applyFont="1" applyFill="1" applyAlignment="1">
      <alignment/>
    </xf>
    <xf numFmtId="0" fontId="15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5" fillId="15" borderId="0" xfId="0" applyFont="1" applyFill="1" applyAlignment="1">
      <alignment/>
    </xf>
    <xf numFmtId="176" fontId="5" fillId="0" borderId="0" xfId="0" applyNumberFormat="1" applyFont="1" applyAlignment="1">
      <alignment/>
    </xf>
    <xf numFmtId="0" fontId="5" fillId="26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10" borderId="0" xfId="0" applyFont="1" applyFill="1" applyAlignment="1">
      <alignment/>
    </xf>
    <xf numFmtId="0" fontId="8" fillId="0" borderId="10" xfId="0" applyFont="1" applyBorder="1" applyAlignment="1">
      <alignment horizontal="left"/>
    </xf>
    <xf numFmtId="172" fontId="8" fillId="0" borderId="10" xfId="0" applyNumberFormat="1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16</xdr:row>
      <xdr:rowOff>95250</xdr:rowOff>
    </xdr:from>
    <xdr:to>
      <xdr:col>11</xdr:col>
      <xdr:colOff>0</xdr:colOff>
      <xdr:row>16</xdr:row>
      <xdr:rowOff>95250</xdr:rowOff>
    </xdr:to>
    <xdr:sp>
      <xdr:nvSpPr>
        <xdr:cNvPr id="1" name="Line 2"/>
        <xdr:cNvSpPr>
          <a:spLocks/>
        </xdr:cNvSpPr>
      </xdr:nvSpPr>
      <xdr:spPr>
        <a:xfrm>
          <a:off x="746760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76200</xdr:rowOff>
    </xdr:from>
    <xdr:to>
      <xdr:col>11</xdr:col>
      <xdr:colOff>0</xdr:colOff>
      <xdr:row>17</xdr:row>
      <xdr:rowOff>76200</xdr:rowOff>
    </xdr:to>
    <xdr:sp>
      <xdr:nvSpPr>
        <xdr:cNvPr id="2" name="Line 3"/>
        <xdr:cNvSpPr>
          <a:spLocks/>
        </xdr:cNvSpPr>
      </xdr:nvSpPr>
      <xdr:spPr>
        <a:xfrm>
          <a:off x="74676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11</xdr:col>
      <xdr:colOff>0</xdr:colOff>
      <xdr:row>18</xdr:row>
      <xdr:rowOff>85725</xdr:rowOff>
    </xdr:to>
    <xdr:sp>
      <xdr:nvSpPr>
        <xdr:cNvPr id="3" name="Line 4"/>
        <xdr:cNvSpPr>
          <a:spLocks/>
        </xdr:cNvSpPr>
      </xdr:nvSpPr>
      <xdr:spPr>
        <a:xfrm>
          <a:off x="74676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0</xdr:colOff>
      <xdr:row>18</xdr:row>
      <xdr:rowOff>95250</xdr:rowOff>
    </xdr:to>
    <xdr:sp>
      <xdr:nvSpPr>
        <xdr:cNvPr id="4" name="Line 9"/>
        <xdr:cNvSpPr>
          <a:spLocks/>
        </xdr:cNvSpPr>
      </xdr:nvSpPr>
      <xdr:spPr>
        <a:xfrm>
          <a:off x="746760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76200</xdr:rowOff>
    </xdr:from>
    <xdr:to>
      <xdr:col>11</xdr:col>
      <xdr:colOff>0</xdr:colOff>
      <xdr:row>19</xdr:row>
      <xdr:rowOff>76200</xdr:rowOff>
    </xdr:to>
    <xdr:sp>
      <xdr:nvSpPr>
        <xdr:cNvPr id="5" name="Line 10"/>
        <xdr:cNvSpPr>
          <a:spLocks/>
        </xdr:cNvSpPr>
      </xdr:nvSpPr>
      <xdr:spPr>
        <a:xfrm>
          <a:off x="74676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95250</xdr:rowOff>
    </xdr:from>
    <xdr:to>
      <xdr:col>11</xdr:col>
      <xdr:colOff>0</xdr:colOff>
      <xdr:row>17</xdr:row>
      <xdr:rowOff>95250</xdr:rowOff>
    </xdr:to>
    <xdr:sp>
      <xdr:nvSpPr>
        <xdr:cNvPr id="6" name="Line 16"/>
        <xdr:cNvSpPr>
          <a:spLocks/>
        </xdr:cNvSpPr>
      </xdr:nvSpPr>
      <xdr:spPr>
        <a:xfrm>
          <a:off x="7467600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76200</xdr:rowOff>
    </xdr:from>
    <xdr:to>
      <xdr:col>11</xdr:col>
      <xdr:colOff>0</xdr:colOff>
      <xdr:row>18</xdr:row>
      <xdr:rowOff>76200</xdr:rowOff>
    </xdr:to>
    <xdr:sp>
      <xdr:nvSpPr>
        <xdr:cNvPr id="7" name="Line 17"/>
        <xdr:cNvSpPr>
          <a:spLocks/>
        </xdr:cNvSpPr>
      </xdr:nvSpPr>
      <xdr:spPr>
        <a:xfrm>
          <a:off x="746760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11</xdr:col>
      <xdr:colOff>0</xdr:colOff>
      <xdr:row>19</xdr:row>
      <xdr:rowOff>85725</xdr:rowOff>
    </xdr:to>
    <xdr:sp>
      <xdr:nvSpPr>
        <xdr:cNvPr id="8" name="Line 18"/>
        <xdr:cNvSpPr>
          <a:spLocks/>
        </xdr:cNvSpPr>
      </xdr:nvSpPr>
      <xdr:spPr>
        <a:xfrm>
          <a:off x="74676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0</xdr:colOff>
      <xdr:row>16</xdr:row>
      <xdr:rowOff>95250</xdr:rowOff>
    </xdr:to>
    <xdr:sp>
      <xdr:nvSpPr>
        <xdr:cNvPr id="9" name="Line 2"/>
        <xdr:cNvSpPr>
          <a:spLocks/>
        </xdr:cNvSpPr>
      </xdr:nvSpPr>
      <xdr:spPr>
        <a:xfrm>
          <a:off x="746760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76200</xdr:rowOff>
    </xdr:from>
    <xdr:to>
      <xdr:col>11</xdr:col>
      <xdr:colOff>0</xdr:colOff>
      <xdr:row>17</xdr:row>
      <xdr:rowOff>76200</xdr:rowOff>
    </xdr:to>
    <xdr:sp>
      <xdr:nvSpPr>
        <xdr:cNvPr id="10" name="Line 3"/>
        <xdr:cNvSpPr>
          <a:spLocks/>
        </xdr:cNvSpPr>
      </xdr:nvSpPr>
      <xdr:spPr>
        <a:xfrm>
          <a:off x="74676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11</xdr:col>
      <xdr:colOff>0</xdr:colOff>
      <xdr:row>18</xdr:row>
      <xdr:rowOff>85725</xdr:rowOff>
    </xdr:to>
    <xdr:sp>
      <xdr:nvSpPr>
        <xdr:cNvPr id="11" name="Line 4"/>
        <xdr:cNvSpPr>
          <a:spLocks/>
        </xdr:cNvSpPr>
      </xdr:nvSpPr>
      <xdr:spPr>
        <a:xfrm>
          <a:off x="74676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16</xdr:row>
      <xdr:rowOff>95250</xdr:rowOff>
    </xdr:from>
    <xdr:to>
      <xdr:col>11</xdr:col>
      <xdr:colOff>0</xdr:colOff>
      <xdr:row>16</xdr:row>
      <xdr:rowOff>95250</xdr:rowOff>
    </xdr:to>
    <xdr:sp>
      <xdr:nvSpPr>
        <xdr:cNvPr id="1" name="Line 2"/>
        <xdr:cNvSpPr>
          <a:spLocks/>
        </xdr:cNvSpPr>
      </xdr:nvSpPr>
      <xdr:spPr>
        <a:xfrm>
          <a:off x="746760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76200</xdr:rowOff>
    </xdr:from>
    <xdr:to>
      <xdr:col>11</xdr:col>
      <xdr:colOff>0</xdr:colOff>
      <xdr:row>17</xdr:row>
      <xdr:rowOff>76200</xdr:rowOff>
    </xdr:to>
    <xdr:sp>
      <xdr:nvSpPr>
        <xdr:cNvPr id="2" name="Line 3"/>
        <xdr:cNvSpPr>
          <a:spLocks/>
        </xdr:cNvSpPr>
      </xdr:nvSpPr>
      <xdr:spPr>
        <a:xfrm>
          <a:off x="74676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11</xdr:col>
      <xdr:colOff>0</xdr:colOff>
      <xdr:row>18</xdr:row>
      <xdr:rowOff>85725</xdr:rowOff>
    </xdr:to>
    <xdr:sp>
      <xdr:nvSpPr>
        <xdr:cNvPr id="3" name="Line 4"/>
        <xdr:cNvSpPr>
          <a:spLocks/>
        </xdr:cNvSpPr>
      </xdr:nvSpPr>
      <xdr:spPr>
        <a:xfrm>
          <a:off x="74676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0</xdr:colOff>
      <xdr:row>18</xdr:row>
      <xdr:rowOff>95250</xdr:rowOff>
    </xdr:to>
    <xdr:sp>
      <xdr:nvSpPr>
        <xdr:cNvPr id="4" name="Line 9"/>
        <xdr:cNvSpPr>
          <a:spLocks/>
        </xdr:cNvSpPr>
      </xdr:nvSpPr>
      <xdr:spPr>
        <a:xfrm>
          <a:off x="746760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76200</xdr:rowOff>
    </xdr:from>
    <xdr:to>
      <xdr:col>11</xdr:col>
      <xdr:colOff>0</xdr:colOff>
      <xdr:row>19</xdr:row>
      <xdr:rowOff>76200</xdr:rowOff>
    </xdr:to>
    <xdr:sp>
      <xdr:nvSpPr>
        <xdr:cNvPr id="5" name="Line 10"/>
        <xdr:cNvSpPr>
          <a:spLocks/>
        </xdr:cNvSpPr>
      </xdr:nvSpPr>
      <xdr:spPr>
        <a:xfrm>
          <a:off x="74676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95250</xdr:rowOff>
    </xdr:from>
    <xdr:to>
      <xdr:col>11</xdr:col>
      <xdr:colOff>0</xdr:colOff>
      <xdr:row>17</xdr:row>
      <xdr:rowOff>95250</xdr:rowOff>
    </xdr:to>
    <xdr:sp>
      <xdr:nvSpPr>
        <xdr:cNvPr id="6" name="Line 16"/>
        <xdr:cNvSpPr>
          <a:spLocks/>
        </xdr:cNvSpPr>
      </xdr:nvSpPr>
      <xdr:spPr>
        <a:xfrm>
          <a:off x="7467600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76200</xdr:rowOff>
    </xdr:from>
    <xdr:to>
      <xdr:col>11</xdr:col>
      <xdr:colOff>0</xdr:colOff>
      <xdr:row>18</xdr:row>
      <xdr:rowOff>76200</xdr:rowOff>
    </xdr:to>
    <xdr:sp>
      <xdr:nvSpPr>
        <xdr:cNvPr id="7" name="Line 17"/>
        <xdr:cNvSpPr>
          <a:spLocks/>
        </xdr:cNvSpPr>
      </xdr:nvSpPr>
      <xdr:spPr>
        <a:xfrm>
          <a:off x="746760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11</xdr:col>
      <xdr:colOff>0</xdr:colOff>
      <xdr:row>19</xdr:row>
      <xdr:rowOff>85725</xdr:rowOff>
    </xdr:to>
    <xdr:sp>
      <xdr:nvSpPr>
        <xdr:cNvPr id="8" name="Line 18"/>
        <xdr:cNvSpPr>
          <a:spLocks/>
        </xdr:cNvSpPr>
      </xdr:nvSpPr>
      <xdr:spPr>
        <a:xfrm>
          <a:off x="74676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0</xdr:colOff>
      <xdr:row>16</xdr:row>
      <xdr:rowOff>95250</xdr:rowOff>
    </xdr:to>
    <xdr:sp>
      <xdr:nvSpPr>
        <xdr:cNvPr id="9" name="Line 2"/>
        <xdr:cNvSpPr>
          <a:spLocks/>
        </xdr:cNvSpPr>
      </xdr:nvSpPr>
      <xdr:spPr>
        <a:xfrm>
          <a:off x="746760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76200</xdr:rowOff>
    </xdr:from>
    <xdr:to>
      <xdr:col>11</xdr:col>
      <xdr:colOff>0</xdr:colOff>
      <xdr:row>17</xdr:row>
      <xdr:rowOff>76200</xdr:rowOff>
    </xdr:to>
    <xdr:sp>
      <xdr:nvSpPr>
        <xdr:cNvPr id="10" name="Line 3"/>
        <xdr:cNvSpPr>
          <a:spLocks/>
        </xdr:cNvSpPr>
      </xdr:nvSpPr>
      <xdr:spPr>
        <a:xfrm>
          <a:off x="74676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11</xdr:col>
      <xdr:colOff>0</xdr:colOff>
      <xdr:row>18</xdr:row>
      <xdr:rowOff>85725</xdr:rowOff>
    </xdr:to>
    <xdr:sp>
      <xdr:nvSpPr>
        <xdr:cNvPr id="11" name="Line 4"/>
        <xdr:cNvSpPr>
          <a:spLocks/>
        </xdr:cNvSpPr>
      </xdr:nvSpPr>
      <xdr:spPr>
        <a:xfrm>
          <a:off x="74676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16</xdr:row>
      <xdr:rowOff>95250</xdr:rowOff>
    </xdr:from>
    <xdr:to>
      <xdr:col>11</xdr:col>
      <xdr:colOff>0</xdr:colOff>
      <xdr:row>16</xdr:row>
      <xdr:rowOff>95250</xdr:rowOff>
    </xdr:to>
    <xdr:sp>
      <xdr:nvSpPr>
        <xdr:cNvPr id="1" name="Line 2"/>
        <xdr:cNvSpPr>
          <a:spLocks/>
        </xdr:cNvSpPr>
      </xdr:nvSpPr>
      <xdr:spPr>
        <a:xfrm>
          <a:off x="746760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76200</xdr:rowOff>
    </xdr:from>
    <xdr:to>
      <xdr:col>11</xdr:col>
      <xdr:colOff>0</xdr:colOff>
      <xdr:row>17</xdr:row>
      <xdr:rowOff>76200</xdr:rowOff>
    </xdr:to>
    <xdr:sp>
      <xdr:nvSpPr>
        <xdr:cNvPr id="2" name="Line 3"/>
        <xdr:cNvSpPr>
          <a:spLocks/>
        </xdr:cNvSpPr>
      </xdr:nvSpPr>
      <xdr:spPr>
        <a:xfrm>
          <a:off x="74676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11</xdr:col>
      <xdr:colOff>0</xdr:colOff>
      <xdr:row>18</xdr:row>
      <xdr:rowOff>85725</xdr:rowOff>
    </xdr:to>
    <xdr:sp>
      <xdr:nvSpPr>
        <xdr:cNvPr id="3" name="Line 4"/>
        <xdr:cNvSpPr>
          <a:spLocks/>
        </xdr:cNvSpPr>
      </xdr:nvSpPr>
      <xdr:spPr>
        <a:xfrm>
          <a:off x="74676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0</xdr:colOff>
      <xdr:row>18</xdr:row>
      <xdr:rowOff>95250</xdr:rowOff>
    </xdr:to>
    <xdr:sp>
      <xdr:nvSpPr>
        <xdr:cNvPr id="4" name="Line 9"/>
        <xdr:cNvSpPr>
          <a:spLocks/>
        </xdr:cNvSpPr>
      </xdr:nvSpPr>
      <xdr:spPr>
        <a:xfrm>
          <a:off x="7467600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76200</xdr:rowOff>
    </xdr:from>
    <xdr:to>
      <xdr:col>11</xdr:col>
      <xdr:colOff>0</xdr:colOff>
      <xdr:row>19</xdr:row>
      <xdr:rowOff>76200</xdr:rowOff>
    </xdr:to>
    <xdr:sp>
      <xdr:nvSpPr>
        <xdr:cNvPr id="5" name="Line 10"/>
        <xdr:cNvSpPr>
          <a:spLocks/>
        </xdr:cNvSpPr>
      </xdr:nvSpPr>
      <xdr:spPr>
        <a:xfrm>
          <a:off x="7467600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95250</xdr:rowOff>
    </xdr:from>
    <xdr:to>
      <xdr:col>11</xdr:col>
      <xdr:colOff>0</xdr:colOff>
      <xdr:row>17</xdr:row>
      <xdr:rowOff>95250</xdr:rowOff>
    </xdr:to>
    <xdr:sp>
      <xdr:nvSpPr>
        <xdr:cNvPr id="6" name="Line 16"/>
        <xdr:cNvSpPr>
          <a:spLocks/>
        </xdr:cNvSpPr>
      </xdr:nvSpPr>
      <xdr:spPr>
        <a:xfrm>
          <a:off x="7467600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76200</xdr:rowOff>
    </xdr:from>
    <xdr:to>
      <xdr:col>11</xdr:col>
      <xdr:colOff>0</xdr:colOff>
      <xdr:row>18</xdr:row>
      <xdr:rowOff>76200</xdr:rowOff>
    </xdr:to>
    <xdr:sp>
      <xdr:nvSpPr>
        <xdr:cNvPr id="7" name="Line 17"/>
        <xdr:cNvSpPr>
          <a:spLocks/>
        </xdr:cNvSpPr>
      </xdr:nvSpPr>
      <xdr:spPr>
        <a:xfrm>
          <a:off x="746760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85725</xdr:rowOff>
    </xdr:from>
    <xdr:to>
      <xdr:col>11</xdr:col>
      <xdr:colOff>0</xdr:colOff>
      <xdr:row>19</xdr:row>
      <xdr:rowOff>85725</xdr:rowOff>
    </xdr:to>
    <xdr:sp>
      <xdr:nvSpPr>
        <xdr:cNvPr id="8" name="Line 18"/>
        <xdr:cNvSpPr>
          <a:spLocks/>
        </xdr:cNvSpPr>
      </xdr:nvSpPr>
      <xdr:spPr>
        <a:xfrm>
          <a:off x="746760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0</xdr:colOff>
      <xdr:row>16</xdr:row>
      <xdr:rowOff>95250</xdr:rowOff>
    </xdr:to>
    <xdr:sp>
      <xdr:nvSpPr>
        <xdr:cNvPr id="9" name="Line 2"/>
        <xdr:cNvSpPr>
          <a:spLocks/>
        </xdr:cNvSpPr>
      </xdr:nvSpPr>
      <xdr:spPr>
        <a:xfrm>
          <a:off x="746760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76200</xdr:rowOff>
    </xdr:from>
    <xdr:to>
      <xdr:col>11</xdr:col>
      <xdr:colOff>0</xdr:colOff>
      <xdr:row>17</xdr:row>
      <xdr:rowOff>76200</xdr:rowOff>
    </xdr:to>
    <xdr:sp>
      <xdr:nvSpPr>
        <xdr:cNvPr id="10" name="Line 3"/>
        <xdr:cNvSpPr>
          <a:spLocks/>
        </xdr:cNvSpPr>
      </xdr:nvSpPr>
      <xdr:spPr>
        <a:xfrm>
          <a:off x="7467600" y="337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11</xdr:col>
      <xdr:colOff>0</xdr:colOff>
      <xdr:row>18</xdr:row>
      <xdr:rowOff>85725</xdr:rowOff>
    </xdr:to>
    <xdr:sp>
      <xdr:nvSpPr>
        <xdr:cNvPr id="11" name="Line 4"/>
        <xdr:cNvSpPr>
          <a:spLocks/>
        </xdr:cNvSpPr>
      </xdr:nvSpPr>
      <xdr:spPr>
        <a:xfrm>
          <a:off x="74676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G1">
      <selection activeCell="P5" sqref="P5"/>
    </sheetView>
  </sheetViews>
  <sheetFormatPr defaultColWidth="9.00390625" defaultRowHeight="12.75"/>
  <cols>
    <col min="1" max="1" width="13.125" style="11" customWidth="1"/>
    <col min="2" max="2" width="5.875" style="11" customWidth="1"/>
    <col min="3" max="4" width="8.25390625" style="11" customWidth="1"/>
    <col min="5" max="5" width="7.25390625" style="11" customWidth="1"/>
    <col min="6" max="6" width="9.00390625" style="11" customWidth="1"/>
    <col min="7" max="7" width="8.625" style="11" customWidth="1"/>
    <col min="8" max="8" width="9.25390625" style="11" bestFit="1" customWidth="1"/>
    <col min="9" max="9" width="8.25390625" style="11" customWidth="1"/>
    <col min="10" max="10" width="9.375" style="11" bestFit="1" customWidth="1"/>
    <col min="11" max="12" width="10.75390625" style="11" customWidth="1"/>
    <col min="13" max="13" width="11.125" style="11" customWidth="1"/>
    <col min="14" max="14" width="12.625" style="11" customWidth="1"/>
    <col min="15" max="15" width="17.375" style="11" customWidth="1"/>
    <col min="16" max="16" width="15.875" style="11" customWidth="1"/>
    <col min="17" max="18" width="9.125" style="11" customWidth="1"/>
    <col min="19" max="19" width="9.375" style="11" bestFit="1" customWidth="1"/>
    <col min="20" max="22" width="9.125" style="11" customWidth="1"/>
    <col min="23" max="23" width="9.375" style="11" bestFit="1" customWidth="1"/>
    <col min="24" max="16384" width="9.125" style="11" customWidth="1"/>
  </cols>
  <sheetData>
    <row r="1" spans="1:15" ht="15.75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</row>
    <row r="2" spans="1:16" ht="30" customHeight="1">
      <c r="A2" s="79" t="s">
        <v>0</v>
      </c>
      <c r="B2" s="82" t="s">
        <v>1</v>
      </c>
      <c r="C2" s="85" t="s">
        <v>2</v>
      </c>
      <c r="D2" s="86"/>
      <c r="E2" s="87" t="s">
        <v>48</v>
      </c>
      <c r="F2" s="87" t="s">
        <v>3</v>
      </c>
      <c r="G2" s="89" t="s">
        <v>4</v>
      </c>
      <c r="H2" s="89" t="s">
        <v>5</v>
      </c>
      <c r="I2" s="87" t="s">
        <v>6</v>
      </c>
      <c r="J2" s="74" t="s">
        <v>37</v>
      </c>
      <c r="K2" s="68" t="s">
        <v>38</v>
      </c>
      <c r="L2" s="76" t="s">
        <v>51</v>
      </c>
      <c r="M2" s="76"/>
      <c r="N2" s="76"/>
      <c r="O2" s="76"/>
      <c r="P2" s="76"/>
    </row>
    <row r="3" spans="1:16" ht="39.75" customHeight="1">
      <c r="A3" s="80"/>
      <c r="B3" s="83"/>
      <c r="C3" s="12" t="s">
        <v>47</v>
      </c>
      <c r="D3" s="13" t="s">
        <v>7</v>
      </c>
      <c r="E3" s="88"/>
      <c r="F3" s="88"/>
      <c r="G3" s="89"/>
      <c r="H3" s="89"/>
      <c r="I3" s="88"/>
      <c r="J3" s="75"/>
      <c r="K3" s="68"/>
      <c r="L3" s="14"/>
      <c r="M3" s="15"/>
      <c r="N3" s="14"/>
      <c r="O3" s="47" t="s">
        <v>46</v>
      </c>
      <c r="P3" s="46" t="s">
        <v>45</v>
      </c>
    </row>
    <row r="4" spans="1:22" ht="13.5" customHeight="1">
      <c r="A4" s="81"/>
      <c r="B4" s="84"/>
      <c r="C4" s="16" t="s">
        <v>8</v>
      </c>
      <c r="D4" s="17" t="s">
        <v>8</v>
      </c>
      <c r="E4" s="18" t="s">
        <v>9</v>
      </c>
      <c r="F4" s="19" t="s">
        <v>26</v>
      </c>
      <c r="G4" s="20" t="s">
        <v>24</v>
      </c>
      <c r="H4" s="18" t="s">
        <v>24</v>
      </c>
      <c r="I4" s="21" t="s">
        <v>24</v>
      </c>
      <c r="J4" s="22">
        <v>0.05</v>
      </c>
      <c r="K4" s="23" t="s">
        <v>24</v>
      </c>
      <c r="L4" s="24" t="s">
        <v>23</v>
      </c>
      <c r="M4" s="24" t="s">
        <v>25</v>
      </c>
      <c r="N4" s="24" t="s">
        <v>25</v>
      </c>
      <c r="O4" s="24" t="s">
        <v>25</v>
      </c>
      <c r="P4" s="25" t="s">
        <v>36</v>
      </c>
      <c r="Q4" s="11">
        <v>1</v>
      </c>
      <c r="R4" s="64">
        <v>19</v>
      </c>
      <c r="S4" s="62">
        <v>2.526950195375639</v>
      </c>
      <c r="T4" s="11">
        <v>1</v>
      </c>
      <c r="U4" s="11">
        <v>24</v>
      </c>
      <c r="V4" s="62">
        <f>(1.05)^24</f>
        <v>3.2250999437137007</v>
      </c>
    </row>
    <row r="5" spans="1:22" ht="12" customHeight="1">
      <c r="A5" s="69" t="s">
        <v>10</v>
      </c>
      <c r="B5" s="24">
        <v>1</v>
      </c>
      <c r="C5" s="26"/>
      <c r="D5" s="26"/>
      <c r="E5" s="27"/>
      <c r="F5" s="28"/>
      <c r="G5" s="29"/>
      <c r="H5" s="52">
        <v>100</v>
      </c>
      <c r="I5" s="26">
        <f aca="true" t="shared" si="0" ref="I5:I15">G5-H5</f>
        <v>-100</v>
      </c>
      <c r="J5" s="30">
        <f>1.05^19</f>
        <v>2.526950195375639</v>
      </c>
      <c r="K5" s="31">
        <f aca="true" t="shared" si="1" ref="K5:K15">J5*I5</f>
        <v>-252.6950195375639</v>
      </c>
      <c r="L5" s="10" t="s">
        <v>27</v>
      </c>
      <c r="M5" s="44">
        <f>K18*1.05^5</f>
        <v>66390.5860770892</v>
      </c>
      <c r="N5" s="45">
        <f>(I5*1.05^4)+(I6*1.05^3)+(I7*1.05^2)+(I8*1.05^1)+(I9*1.05^0)</f>
        <v>2059.238125</v>
      </c>
      <c r="O5" s="32">
        <f>M5-N5</f>
        <v>64331.3479520892</v>
      </c>
      <c r="P5" s="32">
        <f>(O5-K18)/E11</f>
        <v>246.25173107026495</v>
      </c>
      <c r="Q5" s="11">
        <v>2</v>
      </c>
      <c r="R5" s="64">
        <v>18</v>
      </c>
      <c r="S5" s="62">
        <v>2.4066192336910848</v>
      </c>
      <c r="T5" s="11">
        <v>2</v>
      </c>
      <c r="U5" s="11">
        <v>23</v>
      </c>
      <c r="V5" s="62">
        <f>(1.05)^23</f>
        <v>3.0715237559178106</v>
      </c>
    </row>
    <row r="6" spans="1:22" ht="12" customHeight="1">
      <c r="A6" s="69"/>
      <c r="B6" s="24">
        <v>2</v>
      </c>
      <c r="C6" s="26"/>
      <c r="D6" s="26"/>
      <c r="E6" s="27"/>
      <c r="F6" s="28"/>
      <c r="G6" s="29"/>
      <c r="H6" s="52">
        <v>90</v>
      </c>
      <c r="I6" s="26">
        <f t="shared" si="0"/>
        <v>-90</v>
      </c>
      <c r="J6" s="30">
        <f>1.05^18</f>
        <v>2.4066192336910848</v>
      </c>
      <c r="K6" s="31">
        <f t="shared" si="1"/>
        <v>-216.59573103219762</v>
      </c>
      <c r="L6" s="10" t="s">
        <v>28</v>
      </c>
      <c r="M6" s="44">
        <f>K18*1.05^6</f>
        <v>69710.11538094367</v>
      </c>
      <c r="N6" s="45">
        <f>(I5*1.05^5)+(I6*1.05^4)+(I7*1.05^3)+(I8*1.05^2)+(I9*1.05^1)+(I10*1.05^0)</f>
        <v>5037.20003125</v>
      </c>
      <c r="O6" s="32">
        <f aca="true" t="shared" si="2" ref="O6:O15">M6-N6</f>
        <v>64672.91534969366</v>
      </c>
      <c r="P6" s="32">
        <f>(O6-K18)/E11</f>
        <v>253.0830790223542</v>
      </c>
      <c r="Q6" s="11">
        <v>3</v>
      </c>
      <c r="R6" s="64">
        <v>17</v>
      </c>
      <c r="S6" s="62">
        <v>2.292018317801033</v>
      </c>
      <c r="T6" s="11">
        <v>3</v>
      </c>
      <c r="U6" s="11">
        <v>22</v>
      </c>
      <c r="V6" s="62">
        <f>(1.05)^22</f>
        <v>2.9252607199217238</v>
      </c>
    </row>
    <row r="7" spans="1:22" ht="12" customHeight="1">
      <c r="A7" s="69"/>
      <c r="B7" s="24">
        <v>3</v>
      </c>
      <c r="C7" s="26"/>
      <c r="D7" s="26"/>
      <c r="E7" s="27"/>
      <c r="F7" s="28"/>
      <c r="G7" s="29"/>
      <c r="H7" s="52">
        <v>110</v>
      </c>
      <c r="I7" s="26">
        <f t="shared" si="0"/>
        <v>-110</v>
      </c>
      <c r="J7" s="30">
        <f>1.05^17</f>
        <v>2.292018317801033</v>
      </c>
      <c r="K7" s="31">
        <f t="shared" si="1"/>
        <v>-252.12201495811365</v>
      </c>
      <c r="L7" s="10" t="s">
        <v>29</v>
      </c>
      <c r="M7" s="44">
        <f>K18*1.05^7</f>
        <v>73195.62114999085</v>
      </c>
      <c r="N7" s="45">
        <f>(I5*1.05^6)+(I6*1.05^5)+(I7*1.05^4)+(I8*1.05^3)+(I9*1.05^2)+(I10*1.05^1)+I11*(((1.05^1)-1)/0.05)</f>
        <v>9289.060032812504</v>
      </c>
      <c r="O7" s="32">
        <f t="shared" si="2"/>
        <v>63906.56111717835</v>
      </c>
      <c r="P7" s="32">
        <f>(O7-K18)/E11</f>
        <v>237.755994372048</v>
      </c>
      <c r="Q7" s="11">
        <v>4</v>
      </c>
      <c r="R7" s="64">
        <v>16</v>
      </c>
      <c r="S7" s="62">
        <v>2.182874588381936</v>
      </c>
      <c r="T7" s="11">
        <v>4</v>
      </c>
      <c r="U7" s="11">
        <v>21</v>
      </c>
      <c r="V7" s="62">
        <f>(1.05)^21</f>
        <v>2.785962590401642</v>
      </c>
    </row>
    <row r="8" spans="1:22" ht="12" customHeight="1">
      <c r="A8" s="70" t="s">
        <v>12</v>
      </c>
      <c r="B8" s="24">
        <v>4</v>
      </c>
      <c r="C8" s="29">
        <f>C11*0.25</f>
        <v>15</v>
      </c>
      <c r="D8" s="29">
        <f>C8*E8</f>
        <v>750</v>
      </c>
      <c r="E8" s="27">
        <f>E11</f>
        <v>50</v>
      </c>
      <c r="F8" s="26">
        <f>F11</f>
        <v>1.5</v>
      </c>
      <c r="G8" s="29">
        <f>F8*D8</f>
        <v>1125</v>
      </c>
      <c r="H8" s="29">
        <f>H11</f>
        <v>500</v>
      </c>
      <c r="I8" s="26">
        <f t="shared" si="0"/>
        <v>625</v>
      </c>
      <c r="J8" s="30">
        <f>1.05^16</f>
        <v>2.182874588381936</v>
      </c>
      <c r="K8" s="31">
        <f t="shared" si="1"/>
        <v>1364.29661773871</v>
      </c>
      <c r="L8" s="10" t="s">
        <v>30</v>
      </c>
      <c r="M8" s="44">
        <f>K18*1.05^8</f>
        <v>76855.40220749039</v>
      </c>
      <c r="N8" s="45">
        <f>(I5*1.05^7)+(I6*1.05^6)+(I7*1.05^5)+(I8*1.05^4)+(I9*1.05^3)+(I10*1.05^2)+I11*(((1.05^2)-1)/0.05)</f>
        <v>13753.513034453128</v>
      </c>
      <c r="O8" s="32">
        <f t="shared" si="2"/>
        <v>63101.88917303726</v>
      </c>
      <c r="P8" s="32">
        <f>(O8-K18)/E11</f>
        <v>221.6625554892262</v>
      </c>
      <c r="Q8" s="11">
        <v>5</v>
      </c>
      <c r="R8" s="64">
        <v>15</v>
      </c>
      <c r="S8" s="62">
        <v>2.078928179411368</v>
      </c>
      <c r="T8" s="11">
        <v>5</v>
      </c>
      <c r="U8" s="11">
        <v>20</v>
      </c>
      <c r="V8" s="62">
        <f>(1.05)^20</f>
        <v>2.653297705144421</v>
      </c>
    </row>
    <row r="9" spans="1:22" ht="12" customHeight="1">
      <c r="A9" s="70"/>
      <c r="B9" s="24">
        <v>5</v>
      </c>
      <c r="C9" s="29">
        <f>C11*0.5</f>
        <v>30</v>
      </c>
      <c r="D9" s="29">
        <f>C9*E9</f>
        <v>1500</v>
      </c>
      <c r="E9" s="27">
        <f>E11</f>
        <v>50</v>
      </c>
      <c r="F9" s="26">
        <f>F11</f>
        <v>1.5</v>
      </c>
      <c r="G9" s="29">
        <f aca="true" t="shared" si="3" ref="G9:G15">F9*D9</f>
        <v>2250</v>
      </c>
      <c r="H9" s="29">
        <f>H11</f>
        <v>500</v>
      </c>
      <c r="I9" s="26">
        <f t="shared" si="0"/>
        <v>1750</v>
      </c>
      <c r="J9" s="30">
        <f>1.05^15</f>
        <v>2.078928179411368</v>
      </c>
      <c r="K9" s="31">
        <f t="shared" si="1"/>
        <v>3638.1243139698936</v>
      </c>
      <c r="L9" s="10" t="s">
        <v>31</v>
      </c>
      <c r="M9" s="44">
        <f>K18*1.05^9</f>
        <v>80698.17231786491</v>
      </c>
      <c r="N9" s="45">
        <f>(I5*1.05^8)+(I6*1.05^7)+(I7*1.05^6)+(I8*1.05^5)+(I9*1.05^4)+(I10*1.05^3)+I11*(((1.05^3)-1)/0.05)</f>
        <v>18441.188686175792</v>
      </c>
      <c r="O9" s="32">
        <f t="shared" si="2"/>
        <v>62256.983631689116</v>
      </c>
      <c r="P9" s="32">
        <f>(O9-K18)/E11</f>
        <v>204.76444466226326</v>
      </c>
      <c r="Q9" s="11">
        <v>6</v>
      </c>
      <c r="R9" s="64">
        <v>14</v>
      </c>
      <c r="S9" s="62">
        <v>1.9799315994393973</v>
      </c>
      <c r="T9" s="11">
        <v>6</v>
      </c>
      <c r="U9" s="11">
        <v>19</v>
      </c>
      <c r="V9" s="62">
        <f>(1.05)^19</f>
        <v>2.526950195375639</v>
      </c>
    </row>
    <row r="10" spans="1:22" ht="12" customHeight="1">
      <c r="A10" s="70"/>
      <c r="B10" s="24">
        <v>6</v>
      </c>
      <c r="C10" s="29">
        <f>C11*0.75</f>
        <v>45</v>
      </c>
      <c r="D10" s="29">
        <f>C10*E10</f>
        <v>2250</v>
      </c>
      <c r="E10" s="27">
        <f>E11</f>
        <v>50</v>
      </c>
      <c r="F10" s="26">
        <f>F11</f>
        <v>1.5</v>
      </c>
      <c r="G10" s="29">
        <f t="shared" si="3"/>
        <v>3375</v>
      </c>
      <c r="H10" s="29">
        <f>H11</f>
        <v>500</v>
      </c>
      <c r="I10" s="26">
        <f t="shared" si="0"/>
        <v>2875</v>
      </c>
      <c r="J10" s="30">
        <f>1.05^14</f>
        <v>1.9799315994393973</v>
      </c>
      <c r="K10" s="31">
        <f t="shared" si="1"/>
        <v>5692.303348388267</v>
      </c>
      <c r="L10" s="10" t="s">
        <v>11</v>
      </c>
      <c r="M10" s="44">
        <f>K18*1.05^10</f>
        <v>84733.08093375816</v>
      </c>
      <c r="N10" s="45">
        <f>(I5*1.05^9)+(I6*1.05*8)+(I7*1.05^7)+(I8*1.05^6)+(I9*1.05^5)+(I10*1.05^4)+I11*(((1.05^4)-1)/0.05)</f>
        <v>22740.219110425583</v>
      </c>
      <c r="O10" s="32">
        <f>M10-N10</f>
        <v>61992.861823332576</v>
      </c>
      <c r="P10" s="32">
        <f>(O10-K18)/E11</f>
        <v>199.48200849513248</v>
      </c>
      <c r="Q10" s="60">
        <v>7</v>
      </c>
      <c r="R10" s="65">
        <v>13</v>
      </c>
      <c r="S10" s="62" t="s">
        <v>57</v>
      </c>
      <c r="T10" s="60">
        <v>7</v>
      </c>
      <c r="U10" s="61">
        <v>18</v>
      </c>
      <c r="V10" s="62">
        <f>(1.05)^18</f>
        <v>2.4066192336910848</v>
      </c>
    </row>
    <row r="11" spans="1:22" ht="12" customHeight="1">
      <c r="A11" s="33" t="s">
        <v>13</v>
      </c>
      <c r="B11" s="34" t="s">
        <v>52</v>
      </c>
      <c r="C11" s="35">
        <f>D11/E11</f>
        <v>60</v>
      </c>
      <c r="D11" s="51">
        <v>3000</v>
      </c>
      <c r="E11" s="49">
        <v>50</v>
      </c>
      <c r="F11" s="50">
        <v>1.5</v>
      </c>
      <c r="G11" s="29">
        <f t="shared" si="3"/>
        <v>4500</v>
      </c>
      <c r="H11" s="51">
        <v>500</v>
      </c>
      <c r="I11" s="26">
        <f t="shared" si="0"/>
        <v>4000</v>
      </c>
      <c r="J11" s="36">
        <f>(((1.05^10)-1)/0.05)*1.05^4</f>
        <v>15.288506988787951</v>
      </c>
      <c r="K11" s="37">
        <f t="shared" si="1"/>
        <v>61154.0279551518</v>
      </c>
      <c r="L11" s="10" t="s">
        <v>32</v>
      </c>
      <c r="M11" s="44">
        <f>K18*1.05^11</f>
        <v>88969.73498044607</v>
      </c>
      <c r="N11" s="45">
        <f>(I5*1.05^10)+(I6*1.05^9)+(I7*1.05^8)+(I8*1.05^7)+(I9*1.05^6)+(I10*1.05^5)+I11*(((1.05^5)-1)/0.05)</f>
        <v>28531.41052650881</v>
      </c>
      <c r="O11" s="32">
        <f t="shared" si="2"/>
        <v>60438.32445393725</v>
      </c>
      <c r="P11" s="32">
        <f>(O11-K18)/E11</f>
        <v>168.39126110722603</v>
      </c>
      <c r="Q11" s="60">
        <v>8</v>
      </c>
      <c r="R11" s="65">
        <v>12</v>
      </c>
      <c r="S11" s="62">
        <v>1.7958563260221292</v>
      </c>
      <c r="T11" s="60">
        <v>8</v>
      </c>
      <c r="U11" s="61">
        <v>17</v>
      </c>
      <c r="V11" s="62">
        <f>(1.05)^17</f>
        <v>2.292018317801033</v>
      </c>
    </row>
    <row r="12" spans="1:22" ht="12" customHeight="1">
      <c r="A12" s="71" t="s">
        <v>14</v>
      </c>
      <c r="B12" s="17">
        <v>17</v>
      </c>
      <c r="C12" s="29">
        <f>C11*0.95</f>
        <v>57</v>
      </c>
      <c r="D12" s="29">
        <f>C12*E12</f>
        <v>2850</v>
      </c>
      <c r="E12" s="27">
        <f>E11</f>
        <v>50</v>
      </c>
      <c r="F12" s="26">
        <f>F11</f>
        <v>1.5</v>
      </c>
      <c r="G12" s="29">
        <f t="shared" si="3"/>
        <v>4275</v>
      </c>
      <c r="H12" s="29">
        <f>H11</f>
        <v>500</v>
      </c>
      <c r="I12" s="26">
        <f t="shared" si="0"/>
        <v>3775</v>
      </c>
      <c r="J12" s="38">
        <f>1.05^3</f>
        <v>1.1576250000000001</v>
      </c>
      <c r="K12" s="39">
        <f t="shared" si="1"/>
        <v>4370.034375</v>
      </c>
      <c r="L12" s="10" t="s">
        <v>33</v>
      </c>
      <c r="M12" s="44">
        <f>K18*1.05^12</f>
        <v>93418.22172946837</v>
      </c>
      <c r="N12" s="48">
        <f>(I5*1.05^11)+(I6*1.05^10)+(I7*1.05^9)+(I8*1.05^8)+(I9*1.05^7)+(I10*1.05^6)+I11*(((1.05^6)-1)/0.05)</f>
        <v>33957.981052834235</v>
      </c>
      <c r="O12" s="32">
        <f t="shared" si="2"/>
        <v>59460.24067663413</v>
      </c>
      <c r="P12" s="32">
        <f>(O12-K18)/E11</f>
        <v>148.82958556116355</v>
      </c>
      <c r="Q12" s="60">
        <v>9</v>
      </c>
      <c r="R12" s="65">
        <v>11</v>
      </c>
      <c r="S12" s="62">
        <v>1.7103393581163138</v>
      </c>
      <c r="T12" s="60">
        <v>9</v>
      </c>
      <c r="U12" s="61">
        <v>16</v>
      </c>
      <c r="V12" s="62">
        <f>(1.05)^16</f>
        <v>2.182874588381936</v>
      </c>
    </row>
    <row r="13" spans="1:22" ht="12" customHeight="1">
      <c r="A13" s="72"/>
      <c r="B13" s="17">
        <v>18</v>
      </c>
      <c r="C13" s="29">
        <f>C11*0.9</f>
        <v>54</v>
      </c>
      <c r="D13" s="29">
        <f>C13*E13</f>
        <v>2700</v>
      </c>
      <c r="E13" s="27">
        <f>E11</f>
        <v>50</v>
      </c>
      <c r="F13" s="26">
        <f>F11</f>
        <v>1.5</v>
      </c>
      <c r="G13" s="29">
        <f t="shared" si="3"/>
        <v>4050</v>
      </c>
      <c r="H13" s="29">
        <f>H11</f>
        <v>500</v>
      </c>
      <c r="I13" s="26">
        <f t="shared" si="0"/>
        <v>3550</v>
      </c>
      <c r="J13" s="38">
        <f>1.05^2</f>
        <v>1.1025</v>
      </c>
      <c r="K13" s="39">
        <f t="shared" si="1"/>
        <v>3913.875</v>
      </c>
      <c r="L13" s="10" t="s">
        <v>34</v>
      </c>
      <c r="M13" s="44">
        <f>K18*1.05^13</f>
        <v>98089.1328159418</v>
      </c>
      <c r="N13" s="45">
        <f>(I5*1.05^12)+(I6*1.05^11)+(I7*1.05^10)+(I8*1.05^9)+(I9*1.05^8)+(I10*1.05^7)+I11*(((1.05^7)-1)/0.05)</f>
        <v>39655.88010547597</v>
      </c>
      <c r="O13" s="32">
        <f t="shared" si="2"/>
        <v>58433.25271046584</v>
      </c>
      <c r="P13" s="32">
        <f>(O13-K18)/E11</f>
        <v>128.28982623779768</v>
      </c>
      <c r="Q13" s="60">
        <v>10</v>
      </c>
      <c r="R13" s="65">
        <v>10</v>
      </c>
      <c r="S13" s="62">
        <v>1.6288946267774416</v>
      </c>
      <c r="T13" s="60">
        <v>10</v>
      </c>
      <c r="U13" s="61">
        <v>15</v>
      </c>
      <c r="V13" s="62">
        <f>(1.05)^15</f>
        <v>2.078928179411368</v>
      </c>
    </row>
    <row r="14" spans="1:23" ht="12" customHeight="1">
      <c r="A14" s="72"/>
      <c r="B14" s="17">
        <v>19</v>
      </c>
      <c r="C14" s="29">
        <f>C11*0.85</f>
        <v>51</v>
      </c>
      <c r="D14" s="29">
        <f>C14*E14</f>
        <v>2550</v>
      </c>
      <c r="E14" s="27">
        <f>E11</f>
        <v>50</v>
      </c>
      <c r="F14" s="26">
        <f>F11</f>
        <v>1.5</v>
      </c>
      <c r="G14" s="29">
        <f t="shared" si="3"/>
        <v>3825</v>
      </c>
      <c r="H14" s="29">
        <f>H11</f>
        <v>500</v>
      </c>
      <c r="I14" s="26">
        <f t="shared" si="0"/>
        <v>3325</v>
      </c>
      <c r="J14" s="38">
        <f>1.05^1</f>
        <v>1.05</v>
      </c>
      <c r="K14" s="39">
        <f t="shared" si="1"/>
        <v>3491.25</v>
      </c>
      <c r="L14" s="10" t="s">
        <v>35</v>
      </c>
      <c r="M14" s="44">
        <f>K18*1.05^14</f>
        <v>102993.58945673886</v>
      </c>
      <c r="N14" s="45">
        <f>(I5*1.05^13)+(I6*1.05^12)+(I7*1.05^11)+(I8*1.05^10)+(I9*1.05^9)+(I10*1.05^8)+I11*(((1.05^8)-1)/0.05)</f>
        <v>45638.67411074975</v>
      </c>
      <c r="O14" s="32">
        <f t="shared" si="2"/>
        <v>57354.91534598911</v>
      </c>
      <c r="P14" s="32">
        <f>(O14-K18)/E11</f>
        <v>106.72307894826314</v>
      </c>
      <c r="Q14" s="60">
        <v>11</v>
      </c>
      <c r="R14" s="65">
        <v>9</v>
      </c>
      <c r="S14" s="62">
        <v>1.5513282159785158</v>
      </c>
      <c r="T14" s="60">
        <v>11</v>
      </c>
      <c r="U14" s="61">
        <v>14</v>
      </c>
      <c r="V14" s="62">
        <f>(1.05)^14</f>
        <v>1.9799315994393973</v>
      </c>
      <c r="W14" s="62">
        <f>V10+V11+V12+V15+V16+V17+V18+V19+V20+V21+V22+V23+V24+V25+V26+V27+V28</f>
        <v>26.480144128661998</v>
      </c>
    </row>
    <row r="15" spans="1:22" ht="12" customHeight="1">
      <c r="A15" s="73"/>
      <c r="B15" s="17">
        <v>20</v>
      </c>
      <c r="C15" s="29">
        <f>C11*0.8</f>
        <v>48</v>
      </c>
      <c r="D15" s="29">
        <f>C15*E15</f>
        <v>2400</v>
      </c>
      <c r="E15" s="27">
        <f>E11</f>
        <v>50</v>
      </c>
      <c r="F15" s="26">
        <f>F11</f>
        <v>1.5</v>
      </c>
      <c r="G15" s="29">
        <f t="shared" si="3"/>
        <v>3600</v>
      </c>
      <c r="H15" s="29">
        <f>H11</f>
        <v>500</v>
      </c>
      <c r="I15" s="26">
        <f t="shared" si="0"/>
        <v>3100</v>
      </c>
      <c r="J15" s="30">
        <v>1</v>
      </c>
      <c r="K15" s="39">
        <f t="shared" si="1"/>
        <v>3100</v>
      </c>
      <c r="L15" s="10" t="s">
        <v>22</v>
      </c>
      <c r="M15" s="44">
        <f>K18*1.05^15</f>
        <v>108143.26892957585</v>
      </c>
      <c r="N15" s="45">
        <f>(I5*1.05^14)+(I6*1.05^13)+(I7*1.05^12)+(I8*1.05^11)+(I9*1.05^10)+(I10*1.05^9)+I11*(((1.05^9)-1)/0.05)</f>
        <v>51920.60781628725</v>
      </c>
      <c r="O15" s="32">
        <f t="shared" si="2"/>
        <v>56222.661113288596</v>
      </c>
      <c r="P15" s="32">
        <f>(O15-K18)/E11</f>
        <v>84.07799429425286</v>
      </c>
      <c r="Q15" s="60">
        <v>12</v>
      </c>
      <c r="R15" s="65">
        <v>8</v>
      </c>
      <c r="S15" s="62">
        <v>1.4774554437890626</v>
      </c>
      <c r="T15" s="60">
        <v>12</v>
      </c>
      <c r="U15" s="61">
        <v>13</v>
      </c>
      <c r="V15" s="62">
        <f>(1.05)^13</f>
        <v>1.885649142323236</v>
      </c>
    </row>
    <row r="16" spans="1:22" ht="14.25">
      <c r="A16" s="66" t="s">
        <v>39</v>
      </c>
      <c r="B16" s="66"/>
      <c r="C16" s="66"/>
      <c r="D16" s="66"/>
      <c r="E16" s="66"/>
      <c r="F16" s="66"/>
      <c r="G16" s="66"/>
      <c r="H16" s="66"/>
      <c r="I16" s="66"/>
      <c r="J16" s="66"/>
      <c r="K16" s="39">
        <f>SUM(K5:K15)</f>
        <v>86002.4988447208</v>
      </c>
      <c r="L16" s="10"/>
      <c r="M16" s="44"/>
      <c r="N16" s="45"/>
      <c r="O16" s="32"/>
      <c r="P16" s="32"/>
      <c r="Q16" s="60">
        <v>13</v>
      </c>
      <c r="R16" s="65">
        <v>7</v>
      </c>
      <c r="S16" s="62">
        <v>1.4071004226562502</v>
      </c>
      <c r="T16" s="60">
        <v>13</v>
      </c>
      <c r="U16" s="61">
        <v>12</v>
      </c>
      <c r="V16" s="62">
        <f>(1.05)^12</f>
        <v>1.7958563260221292</v>
      </c>
    </row>
    <row r="17" spans="1:22" ht="14.25">
      <c r="A17" s="66" t="s">
        <v>56</v>
      </c>
      <c r="B17" s="66"/>
      <c r="C17" s="66"/>
      <c r="D17" s="66"/>
      <c r="E17" s="66"/>
      <c r="F17" s="66"/>
      <c r="G17" s="66"/>
      <c r="H17" s="66"/>
      <c r="I17" s="66"/>
      <c r="J17" s="66"/>
      <c r="K17" s="40">
        <f>(1/((1.05^20)-1))</f>
        <v>0.6048517438138262</v>
      </c>
      <c r="L17" s="10"/>
      <c r="M17" s="44"/>
      <c r="N17" s="45"/>
      <c r="O17" s="32"/>
      <c r="P17" s="32"/>
      <c r="Q17" s="60">
        <v>14</v>
      </c>
      <c r="R17" s="65">
        <v>6</v>
      </c>
      <c r="S17" s="62">
        <v>1.340095640625</v>
      </c>
      <c r="T17" s="60">
        <v>14</v>
      </c>
      <c r="U17" s="61">
        <v>11</v>
      </c>
      <c r="V17" s="62">
        <f>(1.05)^11</f>
        <v>1.7103393581163138</v>
      </c>
    </row>
    <row r="18" spans="1:22" ht="13.5">
      <c r="A18" s="66" t="s">
        <v>40</v>
      </c>
      <c r="B18" s="66"/>
      <c r="C18" s="66"/>
      <c r="D18" s="66"/>
      <c r="E18" s="66"/>
      <c r="F18" s="66"/>
      <c r="G18" s="66"/>
      <c r="H18" s="66"/>
      <c r="I18" s="66"/>
      <c r="J18" s="66"/>
      <c r="K18" s="41">
        <f>K17*K16</f>
        <v>52018.76139857595</v>
      </c>
      <c r="L18" s="10"/>
      <c r="M18" s="44"/>
      <c r="N18" s="45"/>
      <c r="O18" s="32"/>
      <c r="P18" s="32"/>
      <c r="Q18" s="60">
        <v>15</v>
      </c>
      <c r="R18" s="65">
        <v>5</v>
      </c>
      <c r="S18" s="62">
        <v>1.2762815625000001</v>
      </c>
      <c r="T18" s="60">
        <v>15</v>
      </c>
      <c r="U18" s="61">
        <v>10</v>
      </c>
      <c r="V18" s="62">
        <f>(1.05)^10</f>
        <v>1.6288946267774416</v>
      </c>
    </row>
    <row r="19" spans="1:22" ht="14.25" customHeight="1">
      <c r="A19" s="67" t="s">
        <v>41</v>
      </c>
      <c r="B19" s="67"/>
      <c r="C19" s="67"/>
      <c r="D19" s="67"/>
      <c r="E19" s="67"/>
      <c r="F19" s="67"/>
      <c r="G19" s="67"/>
      <c r="H19" s="67"/>
      <c r="I19" s="67"/>
      <c r="J19" s="67"/>
      <c r="K19" s="42">
        <f>0.05/((1.05^20)-1)</f>
        <v>0.03024258719069131</v>
      </c>
      <c r="L19" s="10"/>
      <c r="M19" s="44"/>
      <c r="N19" s="45"/>
      <c r="O19" s="32"/>
      <c r="P19" s="32"/>
      <c r="Q19" s="60">
        <v>16</v>
      </c>
      <c r="R19" s="65">
        <v>4</v>
      </c>
      <c r="S19" s="62">
        <v>1.21550625</v>
      </c>
      <c r="T19" s="60">
        <v>16</v>
      </c>
      <c r="U19" s="61">
        <v>9</v>
      </c>
      <c r="V19" s="62">
        <f>(1.05)^9</f>
        <v>1.5513282159785158</v>
      </c>
    </row>
    <row r="20" spans="1:22" ht="12.75">
      <c r="A20" s="66" t="s">
        <v>50</v>
      </c>
      <c r="B20" s="66"/>
      <c r="C20" s="66"/>
      <c r="D20" s="66"/>
      <c r="E20" s="66"/>
      <c r="F20" s="66"/>
      <c r="G20" s="66"/>
      <c r="H20" s="66"/>
      <c r="I20" s="66"/>
      <c r="J20" s="66"/>
      <c r="K20" s="43">
        <f>K19*K16</f>
        <v>2600.9380699287976</v>
      </c>
      <c r="L20" s="10"/>
      <c r="M20" s="44"/>
      <c r="N20" s="45"/>
      <c r="O20" s="32"/>
      <c r="P20" s="32"/>
      <c r="Q20" s="64">
        <v>17</v>
      </c>
      <c r="R20" s="64">
        <v>3</v>
      </c>
      <c r="S20" s="62">
        <v>1.1576250000000001</v>
      </c>
      <c r="T20" s="60">
        <v>17</v>
      </c>
      <c r="U20" s="61">
        <v>8</v>
      </c>
      <c r="V20" s="62">
        <f>(1.05)^8</f>
        <v>1.4774554437890626</v>
      </c>
    </row>
    <row r="21" spans="17:23" ht="12.75">
      <c r="Q21" s="64">
        <v>18</v>
      </c>
      <c r="R21" s="64">
        <v>2</v>
      </c>
      <c r="S21" s="62">
        <v>1.1025</v>
      </c>
      <c r="T21" s="60">
        <v>18</v>
      </c>
      <c r="U21" s="61">
        <v>7</v>
      </c>
      <c r="V21" s="62">
        <f>(1.05)^7</f>
        <v>1.4071004226562502</v>
      </c>
      <c r="W21" s="62">
        <f>V16+V17+V18+V19+V20+V21</f>
        <v>9.570974393339714</v>
      </c>
    </row>
    <row r="22" spans="17:22" ht="12.75">
      <c r="Q22" s="64">
        <v>19</v>
      </c>
      <c r="R22" s="64">
        <v>1</v>
      </c>
      <c r="S22" s="62">
        <v>1.05</v>
      </c>
      <c r="T22" s="60">
        <v>19</v>
      </c>
      <c r="U22" s="61">
        <v>6</v>
      </c>
      <c r="V22" s="62">
        <f>(1.05)^6</f>
        <v>1.340095640625</v>
      </c>
    </row>
    <row r="23" spans="17:22" ht="12.75">
      <c r="Q23" s="64">
        <v>20</v>
      </c>
      <c r="R23" s="64">
        <v>0</v>
      </c>
      <c r="S23" s="62">
        <v>1</v>
      </c>
      <c r="T23" s="63">
        <v>20</v>
      </c>
      <c r="U23" s="61">
        <v>5</v>
      </c>
      <c r="V23" s="62">
        <f>(1.05)^5</f>
        <v>1.2762815625000001</v>
      </c>
    </row>
    <row r="24" spans="20:22" ht="12.75">
      <c r="T24" s="60">
        <v>21</v>
      </c>
      <c r="U24" s="61">
        <v>4</v>
      </c>
      <c r="V24" s="62">
        <f>(1.05)^4</f>
        <v>1.21550625</v>
      </c>
    </row>
    <row r="25" spans="20:22" ht="12.75">
      <c r="T25" s="60">
        <v>22</v>
      </c>
      <c r="U25" s="61">
        <v>3</v>
      </c>
      <c r="V25" s="62">
        <f>(1.05)^3</f>
        <v>1.1576250000000001</v>
      </c>
    </row>
    <row r="26" spans="19:22" ht="12.75">
      <c r="S26" s="62" t="e">
        <f>S10+S11+S12+S13+S14+S15+S16+S17+S18+S19</f>
        <v>#VALUE!</v>
      </c>
      <c r="T26" s="60">
        <v>23</v>
      </c>
      <c r="U26" s="61">
        <v>2</v>
      </c>
      <c r="V26" s="62">
        <f>(1.05)^2</f>
        <v>1.1025</v>
      </c>
    </row>
    <row r="27" spans="20:22" ht="12.75">
      <c r="T27" s="11">
        <v>24</v>
      </c>
      <c r="U27" s="11">
        <v>1</v>
      </c>
      <c r="V27" s="62">
        <f>(1.05)^1</f>
        <v>1.05</v>
      </c>
    </row>
    <row r="28" spans="20:22" ht="12.75">
      <c r="T28" s="11">
        <v>25</v>
      </c>
      <c r="U28" s="11">
        <v>0</v>
      </c>
      <c r="V28" s="62">
        <f>(1.05)^0</f>
        <v>1</v>
      </c>
    </row>
  </sheetData>
  <sheetProtection/>
  <mergeCells count="20">
    <mergeCell ref="L2:P2"/>
    <mergeCell ref="A1:O1"/>
    <mergeCell ref="A2:A4"/>
    <mergeCell ref="B2:B4"/>
    <mergeCell ref="C2:D2"/>
    <mergeCell ref="E2:E3"/>
    <mergeCell ref="F2:F3"/>
    <mergeCell ref="G2:G3"/>
    <mergeCell ref="H2:H3"/>
    <mergeCell ref="I2:I3"/>
    <mergeCell ref="K2:K3"/>
    <mergeCell ref="A5:A7"/>
    <mergeCell ref="A8:A10"/>
    <mergeCell ref="A12:A15"/>
    <mergeCell ref="J2:J3"/>
    <mergeCell ref="A18:J18"/>
    <mergeCell ref="A19:J19"/>
    <mergeCell ref="A20:J20"/>
    <mergeCell ref="A16:J16"/>
    <mergeCell ref="A17:J17"/>
  </mergeCells>
  <printOptions/>
  <pageMargins left="0.75" right="0.75" top="1" bottom="1" header="0.5" footer="0.5"/>
  <pageSetup orientation="portrait" paperSize="9"/>
  <drawing r:id="rId5"/>
  <legacyDrawing r:id="rId4"/>
  <oleObjects>
    <oleObject progId="Equation.3" shapeId="177546592" r:id="rId1"/>
    <oleObject progId="Equation.3" shapeId="177546591" r:id="rId2"/>
    <oleObject progId="Equation.3" shapeId="17754659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K1">
      <selection activeCell="L21" sqref="L21"/>
    </sheetView>
  </sheetViews>
  <sheetFormatPr defaultColWidth="9.00390625" defaultRowHeight="12.75"/>
  <cols>
    <col min="1" max="1" width="13.125" style="11" customWidth="1"/>
    <col min="2" max="2" width="5.875" style="11" customWidth="1"/>
    <col min="3" max="4" width="8.25390625" style="11" customWidth="1"/>
    <col min="5" max="5" width="7.25390625" style="11" customWidth="1"/>
    <col min="6" max="6" width="9.00390625" style="11" customWidth="1"/>
    <col min="7" max="7" width="8.625" style="11" customWidth="1"/>
    <col min="8" max="8" width="9.25390625" style="11" bestFit="1" customWidth="1"/>
    <col min="9" max="9" width="8.25390625" style="11" customWidth="1"/>
    <col min="10" max="10" width="9.375" style="11" bestFit="1" customWidth="1"/>
    <col min="11" max="12" width="10.75390625" style="11" customWidth="1"/>
    <col min="13" max="13" width="11.125" style="11" customWidth="1"/>
    <col min="14" max="14" width="12.625" style="11" customWidth="1"/>
    <col min="15" max="15" width="17.375" style="11" customWidth="1"/>
    <col min="16" max="17" width="15.875" style="11" customWidth="1"/>
    <col min="18" max="18" width="9.125" style="11" customWidth="1"/>
    <col min="19" max="19" width="11.625" style="11" customWidth="1"/>
    <col min="20" max="16384" width="9.125" style="11" customWidth="1"/>
  </cols>
  <sheetData>
    <row r="1" spans="1:15" ht="15.75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</row>
    <row r="2" spans="1:17" ht="30" customHeight="1">
      <c r="A2" s="79" t="s">
        <v>0</v>
      </c>
      <c r="B2" s="82" t="s">
        <v>1</v>
      </c>
      <c r="C2" s="85" t="s">
        <v>2</v>
      </c>
      <c r="D2" s="86"/>
      <c r="E2" s="87" t="s">
        <v>48</v>
      </c>
      <c r="F2" s="87" t="s">
        <v>3</v>
      </c>
      <c r="G2" s="89" t="s">
        <v>4</v>
      </c>
      <c r="H2" s="89" t="s">
        <v>5</v>
      </c>
      <c r="I2" s="87" t="s">
        <v>6</v>
      </c>
      <c r="J2" s="74" t="s">
        <v>37</v>
      </c>
      <c r="K2" s="68" t="s">
        <v>38</v>
      </c>
      <c r="L2" s="76" t="s">
        <v>51</v>
      </c>
      <c r="M2" s="76"/>
      <c r="N2" s="76"/>
      <c r="O2" s="76"/>
      <c r="P2" s="76"/>
      <c r="Q2" s="54"/>
    </row>
    <row r="3" spans="1:17" ht="39.75" customHeight="1">
      <c r="A3" s="80"/>
      <c r="B3" s="83"/>
      <c r="C3" s="12" t="s">
        <v>47</v>
      </c>
      <c r="D3" s="13" t="s">
        <v>7</v>
      </c>
      <c r="E3" s="88"/>
      <c r="F3" s="88"/>
      <c r="G3" s="89"/>
      <c r="H3" s="89"/>
      <c r="I3" s="88"/>
      <c r="J3" s="75"/>
      <c r="K3" s="68"/>
      <c r="L3" s="14"/>
      <c r="M3" s="15"/>
      <c r="N3" s="14"/>
      <c r="O3" s="47" t="s">
        <v>46</v>
      </c>
      <c r="P3" s="46" t="s">
        <v>45</v>
      </c>
      <c r="Q3" s="55"/>
    </row>
    <row r="4" spans="1:20" ht="13.5" customHeight="1">
      <c r="A4" s="81"/>
      <c r="B4" s="84"/>
      <c r="C4" s="16" t="s">
        <v>8</v>
      </c>
      <c r="D4" s="17" t="s">
        <v>8</v>
      </c>
      <c r="E4" s="18" t="s">
        <v>9</v>
      </c>
      <c r="F4" s="19" t="s">
        <v>26</v>
      </c>
      <c r="G4" s="20" t="s">
        <v>24</v>
      </c>
      <c r="H4" s="18" t="s">
        <v>24</v>
      </c>
      <c r="I4" s="21" t="s">
        <v>24</v>
      </c>
      <c r="J4" s="22">
        <v>0.065</v>
      </c>
      <c r="K4" s="23" t="s">
        <v>24</v>
      </c>
      <c r="L4" s="24" t="s">
        <v>23</v>
      </c>
      <c r="M4" s="24" t="s">
        <v>25</v>
      </c>
      <c r="N4" s="24" t="s">
        <v>25</v>
      </c>
      <c r="O4" s="24" t="s">
        <v>25</v>
      </c>
      <c r="P4" s="25" t="s">
        <v>36</v>
      </c>
      <c r="Q4" s="11">
        <v>1</v>
      </c>
      <c r="R4" s="11">
        <v>19</v>
      </c>
      <c r="S4" s="11">
        <f>(1+0.065)^19</f>
        <v>3.308586914101289</v>
      </c>
      <c r="T4" s="11">
        <f>1.065^19</f>
        <v>3.308586914101289</v>
      </c>
    </row>
    <row r="5" spans="1:20" ht="12" customHeight="1">
      <c r="A5" s="69" t="s">
        <v>10</v>
      </c>
      <c r="B5" s="24">
        <v>1</v>
      </c>
      <c r="C5" s="26"/>
      <c r="D5" s="26"/>
      <c r="E5" s="27"/>
      <c r="F5" s="28"/>
      <c r="G5" s="29"/>
      <c r="H5" s="52">
        <v>100</v>
      </c>
      <c r="I5" s="26">
        <f aca="true" t="shared" si="0" ref="I5:I15">G5-H5</f>
        <v>-100</v>
      </c>
      <c r="J5" s="30">
        <f>1.065^19</f>
        <v>3.308586914101289</v>
      </c>
      <c r="K5" s="31">
        <f aca="true" t="shared" si="1" ref="K5:K15">J5*I5</f>
        <v>-330.85869141012887</v>
      </c>
      <c r="L5" s="10" t="s">
        <v>27</v>
      </c>
      <c r="M5" s="44">
        <f>K18*1.065^5</f>
        <v>52602.73879710414</v>
      </c>
      <c r="N5" s="45">
        <f>(I5*1.065^4)+(I6*1.065^3)+(I7*1.065^2)+(I8*1.065^1)+(I9*1.065^0)</f>
        <v>2053.4981486875</v>
      </c>
      <c r="O5" s="32">
        <f>M5-N5</f>
        <v>50549.24064841664</v>
      </c>
      <c r="P5" s="32">
        <f>(O5-K18)/E11</f>
        <v>243.11019303785972</v>
      </c>
      <c r="Q5" s="11">
        <v>2</v>
      </c>
      <c r="R5" s="11">
        <v>18</v>
      </c>
      <c r="S5" s="11">
        <f>(1+0.065)^18</f>
        <v>3.1066543794378303</v>
      </c>
      <c r="T5" s="11">
        <f>1.065^18</f>
        <v>3.1066543794378303</v>
      </c>
    </row>
    <row r="6" spans="1:20" ht="12" customHeight="1">
      <c r="A6" s="69"/>
      <c r="B6" s="24">
        <v>2</v>
      </c>
      <c r="C6" s="26"/>
      <c r="D6" s="26"/>
      <c r="E6" s="27"/>
      <c r="F6" s="28"/>
      <c r="G6" s="29"/>
      <c r="H6" s="52">
        <v>90</v>
      </c>
      <c r="I6" s="26">
        <f t="shared" si="0"/>
        <v>-90</v>
      </c>
      <c r="J6" s="30">
        <f>1.065^18</f>
        <v>3.1066543794378303</v>
      </c>
      <c r="K6" s="31">
        <f t="shared" si="1"/>
        <v>-279.5988941494047</v>
      </c>
      <c r="L6" s="10" t="s">
        <v>28</v>
      </c>
      <c r="M6" s="44">
        <f>K18*1.065^6</f>
        <v>56021.9168189159</v>
      </c>
      <c r="N6" s="45">
        <f>(I5*1.065^5)+(I6*1.065^4)+(I7*1.065^3)+(I8*1.065^2)+(I9*1.065^1)+(I10*1.065^0)</f>
        <v>5061.975528352188</v>
      </c>
      <c r="O6" s="32">
        <f aca="true" t="shared" si="2" ref="O6:O12">M6-N6</f>
        <v>50959.941290563715</v>
      </c>
      <c r="P6" s="32">
        <f>(O6-K18)/E11</f>
        <v>251.32420588080117</v>
      </c>
      <c r="Q6" s="11">
        <v>3</v>
      </c>
      <c r="R6" s="11">
        <v>17</v>
      </c>
      <c r="S6" s="11">
        <f>(1+0.065)^17</f>
        <v>2.917046365669324</v>
      </c>
      <c r="T6" s="11">
        <f>1.065^17</f>
        <v>2.917046365669324</v>
      </c>
    </row>
    <row r="7" spans="1:20" ht="12" customHeight="1">
      <c r="A7" s="69"/>
      <c r="B7" s="24">
        <v>3</v>
      </c>
      <c r="C7" s="26"/>
      <c r="D7" s="26"/>
      <c r="E7" s="27"/>
      <c r="F7" s="28"/>
      <c r="G7" s="29"/>
      <c r="H7" s="52">
        <v>110</v>
      </c>
      <c r="I7" s="26">
        <f t="shared" si="0"/>
        <v>-110</v>
      </c>
      <c r="J7" s="30">
        <f>1.065^17</f>
        <v>2.917046365669324</v>
      </c>
      <c r="K7" s="31">
        <f t="shared" si="1"/>
        <v>-320.8751002236257</v>
      </c>
      <c r="L7" s="10" t="s">
        <v>29</v>
      </c>
      <c r="M7" s="44">
        <f>K18*1.065^7</f>
        <v>59663.341412145426</v>
      </c>
      <c r="N7" s="45">
        <f>(I5*1.065^6)+(I6*1.065^5)+(I7*1.065^4)+(I8*1.065^3)+(I9*1.065^2)+(I10*1.065^1)+I11*(((1.065^1)-1)/0.065)</f>
        <v>9391.003937695075</v>
      </c>
      <c r="O7" s="32">
        <f t="shared" si="2"/>
        <v>50272.33747445035</v>
      </c>
      <c r="P7" s="32">
        <f>(O7-K18)/E11</f>
        <v>237.57212955853393</v>
      </c>
      <c r="Q7" s="11">
        <v>4</v>
      </c>
      <c r="R7" s="11">
        <v>16</v>
      </c>
      <c r="S7" s="11">
        <f>(1+0.065)^16</f>
        <v>2.739010671989976</v>
      </c>
      <c r="T7" s="11">
        <f>1.065^16</f>
        <v>2.739010671989976</v>
      </c>
    </row>
    <row r="8" spans="1:20" ht="12" customHeight="1">
      <c r="A8" s="70" t="s">
        <v>12</v>
      </c>
      <c r="B8" s="24">
        <v>4</v>
      </c>
      <c r="C8" s="29">
        <f>C11*0.25</f>
        <v>15</v>
      </c>
      <c r="D8" s="29">
        <f>C8*E8</f>
        <v>750</v>
      </c>
      <c r="E8" s="27">
        <f>E11</f>
        <v>50</v>
      </c>
      <c r="F8" s="26">
        <f>F11</f>
        <v>1.5</v>
      </c>
      <c r="G8" s="29">
        <f>F8*D8</f>
        <v>1125</v>
      </c>
      <c r="H8" s="29">
        <f>H11</f>
        <v>500</v>
      </c>
      <c r="I8" s="26">
        <f>G8-H8</f>
        <v>625</v>
      </c>
      <c r="J8" s="30">
        <f>1.065^16</f>
        <v>2.739010671989976</v>
      </c>
      <c r="K8" s="31">
        <f t="shared" si="1"/>
        <v>1711.881669993735</v>
      </c>
      <c r="L8" s="10" t="s">
        <v>30</v>
      </c>
      <c r="M8" s="44">
        <f>K18*1.065^8</f>
        <v>63541.45860393487</v>
      </c>
      <c r="N8" s="45">
        <f>(I5*1.065^7)+(I6*1.065^6)+(I7*1.065^5)+(I8*1.065^4)+(I9*1.065^3)+(I10*1.065^2)+I11*(((1.065^2)-1)/0.065)</f>
        <v>14001.419193645248</v>
      </c>
      <c r="O8" s="32">
        <f t="shared" si="2"/>
        <v>49540.039410289624</v>
      </c>
      <c r="P8" s="32">
        <f>(O8-K18)/E11</f>
        <v>222.92616827531936</v>
      </c>
      <c r="Q8" s="11">
        <v>5</v>
      </c>
      <c r="R8" s="11">
        <v>15</v>
      </c>
      <c r="S8" s="11">
        <f>(1+0.065)^15</f>
        <v>2.571841006563358</v>
      </c>
      <c r="T8" s="11">
        <f>1.065^15</f>
        <v>2.571841006563358</v>
      </c>
    </row>
    <row r="9" spans="1:20" ht="12" customHeight="1">
      <c r="A9" s="70"/>
      <c r="B9" s="24">
        <v>5</v>
      </c>
      <c r="C9" s="29">
        <f>C11*0.5</f>
        <v>30</v>
      </c>
      <c r="D9" s="29">
        <f>C9*E9</f>
        <v>1500</v>
      </c>
      <c r="E9" s="27">
        <f>E11</f>
        <v>50</v>
      </c>
      <c r="F9" s="26">
        <f>F11</f>
        <v>1.5</v>
      </c>
      <c r="G9" s="29">
        <f aca="true" t="shared" si="3" ref="G9:G15">F9*D9</f>
        <v>2250</v>
      </c>
      <c r="H9" s="29">
        <f>H11</f>
        <v>500</v>
      </c>
      <c r="I9" s="26">
        <f t="shared" si="0"/>
        <v>1750</v>
      </c>
      <c r="J9" s="30">
        <f>1.065^15</f>
        <v>2.571841006563358</v>
      </c>
      <c r="K9" s="31">
        <f t="shared" si="1"/>
        <v>4500.721761485876</v>
      </c>
      <c r="L9" s="10" t="s">
        <v>31</v>
      </c>
      <c r="M9" s="44">
        <f>K18*1.065^9</f>
        <v>67671.65341319064</v>
      </c>
      <c r="N9" s="45">
        <f>(I5*1.065^8)+(I6*1.065^7)+(I7*1.065^6)+(I8*1.065^5)+(I9*1.065^4)+(I10*1.065^3)+I11*(((1.065^3)-1)/0.065)</f>
        <v>18911.511441232182</v>
      </c>
      <c r="O9" s="32">
        <f t="shared" si="2"/>
        <v>48760.14197195845</v>
      </c>
      <c r="P9" s="32">
        <f>(O9-K18)/E11</f>
        <v>207.32821950869592</v>
      </c>
      <c r="Q9" s="11">
        <v>6</v>
      </c>
      <c r="R9" s="11">
        <v>14</v>
      </c>
      <c r="S9" s="11">
        <f>(1+0.065)^14</f>
        <v>2.414874184566534</v>
      </c>
      <c r="T9" s="11">
        <f>1.065^14</f>
        <v>2.414874184566534</v>
      </c>
    </row>
    <row r="10" spans="1:20" ht="12" customHeight="1">
      <c r="A10" s="70"/>
      <c r="B10" s="24">
        <v>6</v>
      </c>
      <c r="C10" s="29">
        <f>C11*0.75</f>
        <v>45</v>
      </c>
      <c r="D10" s="29">
        <f>C10*E10</f>
        <v>2250</v>
      </c>
      <c r="E10" s="27">
        <f>E11</f>
        <v>50</v>
      </c>
      <c r="F10" s="26">
        <f>F11</f>
        <v>1.5</v>
      </c>
      <c r="G10" s="29">
        <f t="shared" si="3"/>
        <v>3375</v>
      </c>
      <c r="H10" s="29">
        <f>H11</f>
        <v>500</v>
      </c>
      <c r="I10" s="26">
        <f t="shared" si="0"/>
        <v>2875</v>
      </c>
      <c r="J10" s="30">
        <f>1.065^14</f>
        <v>2.414874184566534</v>
      </c>
      <c r="K10" s="31">
        <f t="shared" si="1"/>
        <v>6942.763280628785</v>
      </c>
      <c r="L10" s="10" t="s">
        <v>11</v>
      </c>
      <c r="M10" s="44">
        <f>K18*1.065^10</f>
        <v>72070.31088504802</v>
      </c>
      <c r="N10" s="45">
        <f>(I5*1.065^9)+(I6*1.065*8)+(I7*1.065^7)+(I8*1.065^6)+(I9*1.065^5)+(I10*1.065^4)+I11*(((1.065^4)-1)/0.065)</f>
        <v>23522.9092953284</v>
      </c>
      <c r="O10" s="32">
        <f t="shared" si="2"/>
        <v>48547.40158971962</v>
      </c>
      <c r="P10" s="32">
        <f>(O10-K18)/E11</f>
        <v>203.07341186391932</v>
      </c>
      <c r="Q10" s="56">
        <v>7</v>
      </c>
      <c r="R10" s="58">
        <v>13</v>
      </c>
      <c r="S10" s="58">
        <f>(1+0.065)^13</f>
        <v>2.267487497245572</v>
      </c>
      <c r="T10" s="59">
        <f>1.065^13</f>
        <v>2.267487497245572</v>
      </c>
    </row>
    <row r="11" spans="1:20" ht="12" customHeight="1">
      <c r="A11" s="33" t="s">
        <v>13</v>
      </c>
      <c r="B11" s="34" t="s">
        <v>52</v>
      </c>
      <c r="C11" s="35">
        <f>D11/E11</f>
        <v>60</v>
      </c>
      <c r="D11" s="51">
        <v>3000</v>
      </c>
      <c r="E11" s="49">
        <v>50</v>
      </c>
      <c r="F11" s="50">
        <v>1.5</v>
      </c>
      <c r="G11" s="29">
        <f t="shared" si="3"/>
        <v>4500</v>
      </c>
      <c r="H11" s="51">
        <v>500</v>
      </c>
      <c r="I11" s="26">
        <f t="shared" si="0"/>
        <v>4000</v>
      </c>
      <c r="J11" s="36">
        <f>(((1.065^10)-1)/0.065)*1.065^4</f>
        <v>17.36012052217745</v>
      </c>
      <c r="K11" s="37">
        <f t="shared" si="1"/>
        <v>69440.4820887098</v>
      </c>
      <c r="L11" s="10" t="s">
        <v>32</v>
      </c>
      <c r="M11" s="44">
        <f>K18*1.065^11</f>
        <v>76754.88109257614</v>
      </c>
      <c r="N11" s="45">
        <f>(I5*1.065^10)+(I6*1.065^9)+(I7*1.065^8)+(I8*1.065^7)+(I9*1.065^6)+(I10*1.065^5)+I11*(((1.065^5)-1)/0.065)</f>
        <v>29709.909064431566</v>
      </c>
      <c r="O11" s="32">
        <f t="shared" si="2"/>
        <v>47044.97202814457</v>
      </c>
      <c r="P11" s="32">
        <f>(O11-K18)/E11</f>
        <v>173.02482063241825</v>
      </c>
      <c r="Q11" s="56">
        <v>8</v>
      </c>
      <c r="R11" s="58">
        <v>12</v>
      </c>
      <c r="S11" s="58">
        <f>(1+0.065)^12</f>
        <v>2.1290962415451378</v>
      </c>
      <c r="T11" s="59">
        <f>1.065^12</f>
        <v>2.1290962415451378</v>
      </c>
    </row>
    <row r="12" spans="1:20" ht="12" customHeight="1">
      <c r="A12" s="71" t="s">
        <v>14</v>
      </c>
      <c r="B12" s="17">
        <v>17</v>
      </c>
      <c r="C12" s="29">
        <f>C11*0.95</f>
        <v>57</v>
      </c>
      <c r="D12" s="29">
        <f>C12*E12</f>
        <v>2850</v>
      </c>
      <c r="E12" s="27">
        <f>E11</f>
        <v>50</v>
      </c>
      <c r="F12" s="26">
        <f>F11</f>
        <v>1.5</v>
      </c>
      <c r="G12" s="29">
        <f t="shared" si="3"/>
        <v>4275</v>
      </c>
      <c r="H12" s="29">
        <f>H11</f>
        <v>500</v>
      </c>
      <c r="I12" s="26">
        <f t="shared" si="0"/>
        <v>3775</v>
      </c>
      <c r="J12" s="38">
        <f>1.065^3</f>
        <v>1.2079496249999997</v>
      </c>
      <c r="K12" s="39">
        <f t="shared" si="1"/>
        <v>4560.009834374999</v>
      </c>
      <c r="L12" s="10" t="s">
        <v>33</v>
      </c>
      <c r="M12" s="44">
        <f>K18*1.065^12</f>
        <v>81743.94836359358</v>
      </c>
      <c r="N12" s="48">
        <f>(I5*1.065^11)+(I6*1.065^10)+(I7*1.065^9)+(I8*1.065^8)+(I9*1.065^7)+(I10*1.065^6)+I11*(((1.065^6)-1)/0.065)</f>
        <v>35641.0531536196</v>
      </c>
      <c r="O12" s="32">
        <f t="shared" si="2"/>
        <v>46102.895209973976</v>
      </c>
      <c r="P12" s="32">
        <f>(O12-K18)/E11</f>
        <v>154.1832842690064</v>
      </c>
      <c r="Q12" s="56">
        <v>9</v>
      </c>
      <c r="R12" s="58">
        <v>11</v>
      </c>
      <c r="S12" s="58">
        <f>(1+0.065)^11</f>
        <v>1.9991514005118667</v>
      </c>
      <c r="T12" s="59">
        <f>1.065^15</f>
        <v>2.571841006563358</v>
      </c>
    </row>
    <row r="13" spans="1:20" ht="12" customHeight="1">
      <c r="A13" s="72"/>
      <c r="B13" s="17">
        <v>18</v>
      </c>
      <c r="C13" s="29">
        <f>C11*0.9</f>
        <v>54</v>
      </c>
      <c r="D13" s="29">
        <f>C13*E13</f>
        <v>2700</v>
      </c>
      <c r="E13" s="27">
        <f>E11</f>
        <v>50</v>
      </c>
      <c r="F13" s="26">
        <f>F11</f>
        <v>1.5</v>
      </c>
      <c r="G13" s="29">
        <f t="shared" si="3"/>
        <v>4050</v>
      </c>
      <c r="H13" s="29">
        <f>H11</f>
        <v>500</v>
      </c>
      <c r="I13" s="26">
        <f t="shared" si="0"/>
        <v>3550</v>
      </c>
      <c r="J13" s="38">
        <f>1.065^2</f>
        <v>1.1342249999999998</v>
      </c>
      <c r="K13" s="39">
        <f t="shared" si="1"/>
        <v>4026.4987499999993</v>
      </c>
      <c r="L13" s="10" t="s">
        <v>34</v>
      </c>
      <c r="M13" s="44">
        <f>K18*1.065^13</f>
        <v>87057.30500722716</v>
      </c>
      <c r="N13" s="45">
        <f>(I5*1.065^12)+(I6*1.065^11)+(I7*1.065^10)+(I8*1.065^9)+(I9*1.065^8)+(I10*1.065^7)+I11*(((1.065^7)-1)/0.065)</f>
        <v>41957.721608604865</v>
      </c>
      <c r="O13" s="32">
        <f>M13-N13</f>
        <v>45099.58339862229</v>
      </c>
      <c r="P13" s="32">
        <f>(O13-K18)/E11</f>
        <v>134.11704804197274</v>
      </c>
      <c r="Q13" s="56">
        <v>10</v>
      </c>
      <c r="R13" s="58">
        <v>10</v>
      </c>
      <c r="S13" s="58">
        <f>(1+0.065)^10</f>
        <v>1.8771374652693587</v>
      </c>
      <c r="T13" s="59">
        <f>1.065^10</f>
        <v>1.8771374652693587</v>
      </c>
    </row>
    <row r="14" spans="1:20" ht="12" customHeight="1">
      <c r="A14" s="72"/>
      <c r="B14" s="17">
        <v>19</v>
      </c>
      <c r="C14" s="29">
        <f>C11*0.85</f>
        <v>51</v>
      </c>
      <c r="D14" s="29">
        <f>C14*E14</f>
        <v>2550</v>
      </c>
      <c r="E14" s="27">
        <f>E11</f>
        <v>50</v>
      </c>
      <c r="F14" s="26">
        <f>F11</f>
        <v>1.5</v>
      </c>
      <c r="G14" s="29">
        <f t="shared" si="3"/>
        <v>3825</v>
      </c>
      <c r="H14" s="29">
        <f>H11</f>
        <v>500</v>
      </c>
      <c r="I14" s="26">
        <f t="shared" si="0"/>
        <v>3325</v>
      </c>
      <c r="J14" s="38">
        <f>1.065^1</f>
        <v>1.065</v>
      </c>
      <c r="K14" s="39">
        <f t="shared" si="1"/>
        <v>3541.125</v>
      </c>
      <c r="L14" s="10" t="s">
        <v>35</v>
      </c>
      <c r="M14" s="44">
        <f>K18*1.065^14</f>
        <v>92716.02983269692</v>
      </c>
      <c r="N14" s="45">
        <f>(I5*1.065^13)+(I6*1.065^12)+(I7*1.065^11)+(I8*1.065^10)+(I9*1.065^9)+(I10*1.065^8)+I11*(((1.065^8)-1)/0.065)</f>
        <v>48684.97351316417</v>
      </c>
      <c r="O14" s="32">
        <f>M14-N14</f>
        <v>44031.05631953275</v>
      </c>
      <c r="P14" s="32">
        <f>(O14-K18)/E11</f>
        <v>112.74650646018185</v>
      </c>
      <c r="Q14" s="56">
        <v>11</v>
      </c>
      <c r="R14" s="58">
        <v>9</v>
      </c>
      <c r="S14" s="58">
        <f>(1+0.065)^9</f>
        <v>1.7625703899242806</v>
      </c>
      <c r="T14" s="59">
        <f>1.065^9</f>
        <v>1.7625703899242806</v>
      </c>
    </row>
    <row r="15" spans="1:20" ht="12" customHeight="1">
      <c r="A15" s="73"/>
      <c r="B15" s="17">
        <v>20</v>
      </c>
      <c r="C15" s="29">
        <f>C11*0.8</f>
        <v>48</v>
      </c>
      <c r="D15" s="29">
        <f>C15*E15</f>
        <v>2400</v>
      </c>
      <c r="E15" s="27">
        <f>E11</f>
        <v>50</v>
      </c>
      <c r="F15" s="26">
        <f>F11</f>
        <v>1.5</v>
      </c>
      <c r="G15" s="29">
        <f t="shared" si="3"/>
        <v>3600</v>
      </c>
      <c r="H15" s="29">
        <f>H11</f>
        <v>500</v>
      </c>
      <c r="I15" s="26">
        <f t="shared" si="0"/>
        <v>3100</v>
      </c>
      <c r="J15" s="30">
        <v>1</v>
      </c>
      <c r="K15" s="39">
        <f t="shared" si="1"/>
        <v>3100</v>
      </c>
      <c r="L15" s="10" t="s">
        <v>22</v>
      </c>
      <c r="M15" s="44">
        <f>K18*1.065^15</f>
        <v>98742.5717718222</v>
      </c>
      <c r="N15" s="45">
        <f>(I5*1.065^14)+(I6*1.065^13)+(I7*1.065^12)+(I8*1.065^11)+(I9*1.065^10)+(I10*1.065^9)+I11*(((1.065^9)-1)/0.065)</f>
        <v>55849.49679151984</v>
      </c>
      <c r="O15" s="32">
        <f>M15-N15</f>
        <v>42893.07498030236</v>
      </c>
      <c r="P15" s="32">
        <f>(O15-K18)/E11</f>
        <v>89.98687967557402</v>
      </c>
      <c r="Q15" s="56">
        <v>12</v>
      </c>
      <c r="R15" s="58">
        <v>8</v>
      </c>
      <c r="S15" s="58">
        <f>(1+0.065)^8</f>
        <v>1.6549956712904044</v>
      </c>
      <c r="T15" s="59">
        <f>1.065^8</f>
        <v>1.6549956712904044</v>
      </c>
    </row>
    <row r="16" spans="1:20" ht="14.25">
      <c r="A16" s="66" t="s">
        <v>39</v>
      </c>
      <c r="B16" s="66"/>
      <c r="C16" s="66"/>
      <c r="D16" s="66"/>
      <c r="E16" s="66"/>
      <c r="F16" s="66"/>
      <c r="G16" s="66"/>
      <c r="H16" s="66"/>
      <c r="I16" s="66"/>
      <c r="J16" s="66"/>
      <c r="K16" s="39">
        <f>SUM(K5:K15)</f>
        <v>96892.14969941005</v>
      </c>
      <c r="L16" s="10"/>
      <c r="M16" s="44"/>
      <c r="N16" s="45"/>
      <c r="O16" s="32"/>
      <c r="P16" s="32"/>
      <c r="Q16" s="56">
        <v>13</v>
      </c>
      <c r="R16" s="58">
        <v>7</v>
      </c>
      <c r="S16" s="58">
        <f>(1+0.065)^7</f>
        <v>1.5539865458125863</v>
      </c>
      <c r="T16" s="59">
        <f>1.065^7</f>
        <v>1.5539865458125863</v>
      </c>
    </row>
    <row r="17" spans="1:21" ht="14.25">
      <c r="A17" s="66" t="s">
        <v>42</v>
      </c>
      <c r="B17" s="66"/>
      <c r="C17" s="66"/>
      <c r="D17" s="66"/>
      <c r="E17" s="66"/>
      <c r="F17" s="66"/>
      <c r="G17" s="66"/>
      <c r="H17" s="66"/>
      <c r="I17" s="66"/>
      <c r="J17" s="66"/>
      <c r="K17" s="40">
        <f>(1/((1.065^20)-1))</f>
        <v>0.39625223628160894</v>
      </c>
      <c r="L17" s="10"/>
      <c r="M17" s="44"/>
      <c r="N17" s="45"/>
      <c r="O17" s="32"/>
      <c r="P17" s="32"/>
      <c r="Q17" s="56">
        <v>14</v>
      </c>
      <c r="R17" s="58">
        <v>6</v>
      </c>
      <c r="S17" s="58">
        <f>(1+0.065)^6</f>
        <v>1.45914229653764</v>
      </c>
      <c r="T17" s="59">
        <f>1.065^6</f>
        <v>1.45914229653764</v>
      </c>
      <c r="U17" s="57">
        <f>SUM(T10:T19)</f>
        <v>17.93281012822896</v>
      </c>
    </row>
    <row r="18" spans="1:20" ht="13.5">
      <c r="A18" s="66" t="s">
        <v>40</v>
      </c>
      <c r="B18" s="66"/>
      <c r="C18" s="66"/>
      <c r="D18" s="66"/>
      <c r="E18" s="66"/>
      <c r="F18" s="66"/>
      <c r="G18" s="66"/>
      <c r="H18" s="66"/>
      <c r="I18" s="66"/>
      <c r="J18" s="66"/>
      <c r="K18" s="41">
        <f>K17*K16</f>
        <v>38393.730996523656</v>
      </c>
      <c r="L18" s="10"/>
      <c r="M18" s="44"/>
      <c r="N18" s="45"/>
      <c r="O18" s="32"/>
      <c r="P18" s="32"/>
      <c r="Q18" s="56">
        <v>15</v>
      </c>
      <c r="R18" s="58">
        <v>5</v>
      </c>
      <c r="S18" s="58">
        <f>(1+0.065)^5</f>
        <v>1.3700866634156246</v>
      </c>
      <c r="T18" s="59">
        <f>1.065^5</f>
        <v>1.3700866634156246</v>
      </c>
    </row>
    <row r="19" spans="1:20" ht="14.25" customHeight="1">
      <c r="A19" s="67" t="s">
        <v>41</v>
      </c>
      <c r="B19" s="67"/>
      <c r="C19" s="67"/>
      <c r="D19" s="67"/>
      <c r="E19" s="67"/>
      <c r="F19" s="67"/>
      <c r="G19" s="67"/>
      <c r="H19" s="67"/>
      <c r="I19" s="67"/>
      <c r="J19" s="67"/>
      <c r="K19" s="42">
        <f>0.065/((1.065^20)-1)</f>
        <v>0.025756395358304582</v>
      </c>
      <c r="L19" s="10"/>
      <c r="M19" s="44"/>
      <c r="N19" s="45"/>
      <c r="O19" s="32"/>
      <c r="P19" s="32"/>
      <c r="Q19" s="56">
        <v>16</v>
      </c>
      <c r="R19" s="58">
        <v>4</v>
      </c>
      <c r="S19" s="58">
        <f>(1+0.065)^4</f>
        <v>1.2864663506249996</v>
      </c>
      <c r="T19" s="59">
        <f>1.065^4</f>
        <v>1.2864663506249996</v>
      </c>
    </row>
    <row r="20" spans="1:20" ht="12.75">
      <c r="A20" s="66" t="s">
        <v>50</v>
      </c>
      <c r="B20" s="66"/>
      <c r="C20" s="66"/>
      <c r="D20" s="66"/>
      <c r="E20" s="66"/>
      <c r="F20" s="66"/>
      <c r="G20" s="66"/>
      <c r="H20" s="66"/>
      <c r="I20" s="66"/>
      <c r="J20" s="66"/>
      <c r="K20" s="43">
        <f>K19*K16</f>
        <v>2495.5925147740377</v>
      </c>
      <c r="L20" s="10"/>
      <c r="M20" s="44"/>
      <c r="N20" s="45"/>
      <c r="O20" s="32"/>
      <c r="P20" s="32"/>
      <c r="Q20" s="11">
        <v>17</v>
      </c>
      <c r="R20" s="11">
        <v>3</v>
      </c>
      <c r="S20" s="11">
        <f>(1+0.065)^3</f>
        <v>1.2079496249999997</v>
      </c>
      <c r="T20" s="11">
        <f>1.065^3</f>
        <v>1.2079496249999997</v>
      </c>
    </row>
    <row r="21" spans="17:20" ht="12.75">
      <c r="Q21" s="11">
        <v>18</v>
      </c>
      <c r="R21" s="11">
        <v>2</v>
      </c>
      <c r="S21" s="11">
        <f>(1+0.065)^2</f>
        <v>1.1342249999999998</v>
      </c>
      <c r="T21" s="11">
        <f>1.065^2</f>
        <v>1.1342249999999998</v>
      </c>
    </row>
    <row r="22" spans="17:20" ht="12.75">
      <c r="Q22" s="11">
        <v>19</v>
      </c>
      <c r="R22" s="11">
        <v>1</v>
      </c>
      <c r="S22" s="11">
        <f>(1+0.065)^1</f>
        <v>1.065</v>
      </c>
      <c r="T22" s="11">
        <f>1.065^1</f>
        <v>1.065</v>
      </c>
    </row>
    <row r="23" spans="17:20" ht="12.75">
      <c r="Q23" s="11">
        <v>20</v>
      </c>
      <c r="R23" s="11">
        <v>0</v>
      </c>
      <c r="S23" s="11">
        <f>(1+0.065)^0</f>
        <v>1</v>
      </c>
      <c r="T23" s="11">
        <v>1</v>
      </c>
    </row>
  </sheetData>
  <sheetProtection/>
  <mergeCells count="20">
    <mergeCell ref="I2:I3"/>
    <mergeCell ref="J2:J3"/>
    <mergeCell ref="A19:J19"/>
    <mergeCell ref="A12:A15"/>
    <mergeCell ref="A16:J16"/>
    <mergeCell ref="A20:J20"/>
    <mergeCell ref="A18:J18"/>
    <mergeCell ref="A17:J17"/>
    <mergeCell ref="A5:A7"/>
    <mergeCell ref="A8:A10"/>
    <mergeCell ref="A1:O1"/>
    <mergeCell ref="A2:A4"/>
    <mergeCell ref="B2:B4"/>
    <mergeCell ref="C2:D2"/>
    <mergeCell ref="E2:E3"/>
    <mergeCell ref="F2:F3"/>
    <mergeCell ref="K2:K3"/>
    <mergeCell ref="L2:P2"/>
    <mergeCell ref="G2:G3"/>
    <mergeCell ref="H2:H3"/>
  </mergeCells>
  <printOptions/>
  <pageMargins left="0.75" right="0.75" top="1" bottom="1" header="0.5" footer="0.5"/>
  <pageSetup horizontalDpi="300" verticalDpi="300" orientation="portrait" paperSize="9" r:id="rId6"/>
  <drawing r:id="rId5"/>
  <legacyDrawing r:id="rId4"/>
  <oleObjects>
    <oleObject progId="Equation.3" shapeId="177546589" r:id="rId1"/>
    <oleObject progId="Equation.3" shapeId="177546588" r:id="rId2"/>
    <oleObject progId="Equation.3" shapeId="17754658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13.125" style="11" customWidth="1"/>
    <col min="2" max="2" width="5.875" style="11" customWidth="1"/>
    <col min="3" max="4" width="8.25390625" style="11" customWidth="1"/>
    <col min="5" max="5" width="7.25390625" style="11" customWidth="1"/>
    <col min="6" max="6" width="9.00390625" style="11" customWidth="1"/>
    <col min="7" max="7" width="8.625" style="11" customWidth="1"/>
    <col min="8" max="8" width="9.25390625" style="11" bestFit="1" customWidth="1"/>
    <col min="9" max="9" width="8.25390625" style="11" customWidth="1"/>
    <col min="10" max="10" width="9.375" style="11" bestFit="1" customWidth="1"/>
    <col min="11" max="12" width="10.75390625" style="11" customWidth="1"/>
    <col min="13" max="13" width="11.125" style="11" customWidth="1"/>
    <col min="14" max="14" width="12.625" style="11" customWidth="1"/>
    <col min="15" max="15" width="17.375" style="11" customWidth="1"/>
    <col min="16" max="16" width="15.875" style="11" customWidth="1"/>
    <col min="17" max="16384" width="9.125" style="11" customWidth="1"/>
  </cols>
  <sheetData>
    <row r="1" spans="1:15" ht="15.75">
      <c r="A1" s="77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</row>
    <row r="2" spans="1:16" ht="30" customHeight="1">
      <c r="A2" s="79" t="s">
        <v>0</v>
      </c>
      <c r="B2" s="82" t="s">
        <v>1</v>
      </c>
      <c r="C2" s="85" t="s">
        <v>2</v>
      </c>
      <c r="D2" s="86"/>
      <c r="E2" s="87" t="s">
        <v>48</v>
      </c>
      <c r="F2" s="87" t="s">
        <v>3</v>
      </c>
      <c r="G2" s="89" t="s">
        <v>4</v>
      </c>
      <c r="H2" s="89" t="s">
        <v>5</v>
      </c>
      <c r="I2" s="87" t="s">
        <v>6</v>
      </c>
      <c r="J2" s="74" t="s">
        <v>37</v>
      </c>
      <c r="K2" s="68" t="s">
        <v>38</v>
      </c>
      <c r="L2" s="76" t="s">
        <v>51</v>
      </c>
      <c r="M2" s="76"/>
      <c r="N2" s="76"/>
      <c r="O2" s="76"/>
      <c r="P2" s="76"/>
    </row>
    <row r="3" spans="1:16" ht="39.75" customHeight="1">
      <c r="A3" s="80"/>
      <c r="B3" s="83"/>
      <c r="C3" s="12" t="s">
        <v>47</v>
      </c>
      <c r="D3" s="13" t="s">
        <v>7</v>
      </c>
      <c r="E3" s="88"/>
      <c r="F3" s="88"/>
      <c r="G3" s="89"/>
      <c r="H3" s="89"/>
      <c r="I3" s="88"/>
      <c r="J3" s="75"/>
      <c r="K3" s="68"/>
      <c r="L3" s="14"/>
      <c r="M3" s="15"/>
      <c r="N3" s="14"/>
      <c r="O3" s="47" t="s">
        <v>46</v>
      </c>
      <c r="P3" s="46" t="s">
        <v>45</v>
      </c>
    </row>
    <row r="4" spans="1:16" ht="13.5" customHeight="1">
      <c r="A4" s="81"/>
      <c r="B4" s="84"/>
      <c r="C4" s="16" t="s">
        <v>8</v>
      </c>
      <c r="D4" s="17" t="s">
        <v>8</v>
      </c>
      <c r="E4" s="18" t="s">
        <v>9</v>
      </c>
      <c r="F4" s="19" t="s">
        <v>26</v>
      </c>
      <c r="G4" s="20" t="s">
        <v>24</v>
      </c>
      <c r="H4" s="18" t="s">
        <v>24</v>
      </c>
      <c r="I4" s="21" t="s">
        <v>24</v>
      </c>
      <c r="J4" s="22">
        <v>0.07</v>
      </c>
      <c r="K4" s="23" t="s">
        <v>24</v>
      </c>
      <c r="L4" s="24" t="s">
        <v>23</v>
      </c>
      <c r="M4" s="24" t="s">
        <v>25</v>
      </c>
      <c r="N4" s="24" t="s">
        <v>25</v>
      </c>
      <c r="O4" s="24" t="s">
        <v>25</v>
      </c>
      <c r="P4" s="25" t="s">
        <v>36</v>
      </c>
    </row>
    <row r="5" spans="1:16" ht="12" customHeight="1">
      <c r="A5" s="69" t="s">
        <v>10</v>
      </c>
      <c r="B5" s="24">
        <v>1</v>
      </c>
      <c r="C5" s="26"/>
      <c r="D5" s="26"/>
      <c r="E5" s="27"/>
      <c r="F5" s="28"/>
      <c r="G5" s="29"/>
      <c r="H5" s="52">
        <v>100</v>
      </c>
      <c r="I5" s="26">
        <f aca="true" t="shared" si="0" ref="I5:I15">G5-H5</f>
        <v>-100</v>
      </c>
      <c r="J5" s="30">
        <f>1.07^19</f>
        <v>3.616527535033813</v>
      </c>
      <c r="K5" s="31">
        <f aca="true" t="shared" si="1" ref="K5:K15">J5*I5</f>
        <v>-361.6527535033813</v>
      </c>
      <c r="L5" s="10" t="s">
        <v>27</v>
      </c>
      <c r="M5" s="44">
        <f>K18*1.07^5</f>
        <v>49296.18891428838</v>
      </c>
      <c r="N5" s="45">
        <f>(I5*1.07^4)+(I6*1.07^3)+(I7*1.07^2)+(I8*1.07^1)+(I9*1.07^0)</f>
        <v>2051.477529</v>
      </c>
      <c r="O5" s="32">
        <f aca="true" t="shared" si="2" ref="O5:O15">M5-N5</f>
        <v>47244.71138528838</v>
      </c>
      <c r="P5" s="32">
        <f>(O5-K18)/E11</f>
        <v>241.94419976369477</v>
      </c>
    </row>
    <row r="6" spans="1:16" ht="12" customHeight="1">
      <c r="A6" s="69"/>
      <c r="B6" s="24">
        <v>2</v>
      </c>
      <c r="C6" s="26"/>
      <c r="D6" s="26"/>
      <c r="E6" s="27"/>
      <c r="F6" s="28"/>
      <c r="G6" s="29"/>
      <c r="H6" s="52">
        <v>90</v>
      </c>
      <c r="I6" s="26">
        <f t="shared" si="0"/>
        <v>-90</v>
      </c>
      <c r="J6" s="30">
        <f>1.07^18</f>
        <v>3.379932275732535</v>
      </c>
      <c r="K6" s="31">
        <f t="shared" si="1"/>
        <v>-304.1939048159282</v>
      </c>
      <c r="L6" s="10" t="s">
        <v>28</v>
      </c>
      <c r="M6" s="44">
        <f>K18*1.07^6</f>
        <v>52746.922138288566</v>
      </c>
      <c r="N6" s="45">
        <f>(I5*1.07^5)+(I6*1.07^4)+(I7*1.07^3)+(I8*1.07^2)+(I9*1.07^1)+(I10*1.07^0)</f>
        <v>5070.08095603</v>
      </c>
      <c r="O6" s="32">
        <f t="shared" si="2"/>
        <v>47676.84118225856</v>
      </c>
      <c r="P6" s="32">
        <f>(O6-K18)/E11</f>
        <v>250.58679570309846</v>
      </c>
    </row>
    <row r="7" spans="1:16" ht="12" customHeight="1">
      <c r="A7" s="69"/>
      <c r="B7" s="24">
        <v>3</v>
      </c>
      <c r="C7" s="26"/>
      <c r="D7" s="26"/>
      <c r="E7" s="27"/>
      <c r="F7" s="28"/>
      <c r="G7" s="29"/>
      <c r="H7" s="52">
        <v>110</v>
      </c>
      <c r="I7" s="26">
        <f t="shared" si="0"/>
        <v>-110</v>
      </c>
      <c r="J7" s="30">
        <f>1.07^17</f>
        <v>3.158815210964986</v>
      </c>
      <c r="K7" s="31">
        <f t="shared" si="1"/>
        <v>-347.46967320614846</v>
      </c>
      <c r="L7" s="10" t="s">
        <v>29</v>
      </c>
      <c r="M7" s="44">
        <f>K18*1.07^7</f>
        <v>56439.20668796877</v>
      </c>
      <c r="N7" s="45">
        <f>(I5*1.07^6)+(I6*1.07^5)+(I7*1.07^4)+(I8*1.07^3)+(I9*1.07^2)+(I10*1.07^1)+I11*(((1.07^1)-1)/0.07)</f>
        <v>9424.986622952103</v>
      </c>
      <c r="O7" s="32">
        <f t="shared" si="2"/>
        <v>47014.22006501666</v>
      </c>
      <c r="P7" s="32">
        <f>(O7-K18)/E11</f>
        <v>237.33437335826048</v>
      </c>
    </row>
    <row r="8" spans="1:16" ht="12" customHeight="1">
      <c r="A8" s="70" t="s">
        <v>12</v>
      </c>
      <c r="B8" s="24">
        <v>4</v>
      </c>
      <c r="C8" s="29">
        <f>C11*0.25</f>
        <v>15</v>
      </c>
      <c r="D8" s="29">
        <f>C8*E8</f>
        <v>750</v>
      </c>
      <c r="E8" s="27">
        <f>E11</f>
        <v>50</v>
      </c>
      <c r="F8" s="26">
        <f>F11</f>
        <v>1.5</v>
      </c>
      <c r="G8" s="29">
        <f>F8*D8</f>
        <v>1125</v>
      </c>
      <c r="H8" s="29">
        <f>H11</f>
        <v>500</v>
      </c>
      <c r="I8" s="26">
        <f t="shared" si="0"/>
        <v>625</v>
      </c>
      <c r="J8" s="30">
        <f>1.07^16</f>
        <v>2.9521637485654075</v>
      </c>
      <c r="K8" s="31">
        <f t="shared" si="1"/>
        <v>1845.1023428533797</v>
      </c>
      <c r="L8" s="10" t="s">
        <v>30</v>
      </c>
      <c r="M8" s="44">
        <f>K18*1.07^8</f>
        <v>60389.95115612658</v>
      </c>
      <c r="N8" s="45">
        <f>(I5*1.07^7)+(I6*1.07^6)+(I7*1.07^5)+(I8*1.07^4)+(I9*1.07^3)+(I10*1.07^2)+I11*(((1.07^2)-1)/0.07)</f>
        <v>14084.73568655875</v>
      </c>
      <c r="O8" s="32">
        <f t="shared" si="2"/>
        <v>46305.21546956783</v>
      </c>
      <c r="P8" s="32">
        <f>(O8-K18)/E11</f>
        <v>223.15428144928387</v>
      </c>
    </row>
    <row r="9" spans="1:16" ht="12" customHeight="1">
      <c r="A9" s="70"/>
      <c r="B9" s="24">
        <v>5</v>
      </c>
      <c r="C9" s="29">
        <f>C11*0.5</f>
        <v>30</v>
      </c>
      <c r="D9" s="29">
        <f>C9*E9</f>
        <v>1500</v>
      </c>
      <c r="E9" s="27">
        <f>E11</f>
        <v>50</v>
      </c>
      <c r="F9" s="26">
        <f>F11</f>
        <v>1.5</v>
      </c>
      <c r="G9" s="29">
        <f aca="true" t="shared" si="3" ref="G9:G15">F9*D9</f>
        <v>2250</v>
      </c>
      <c r="H9" s="29">
        <f>H11</f>
        <v>500</v>
      </c>
      <c r="I9" s="26">
        <f t="shared" si="0"/>
        <v>1750</v>
      </c>
      <c r="J9" s="30">
        <f>1.07^15</f>
        <v>2.7590315407153345</v>
      </c>
      <c r="K9" s="31">
        <f t="shared" si="1"/>
        <v>4828.305196251836</v>
      </c>
      <c r="L9" s="10" t="s">
        <v>31</v>
      </c>
      <c r="M9" s="44">
        <f>K18*1.07^9</f>
        <v>64617.24773705545</v>
      </c>
      <c r="N9" s="45">
        <f>(I5*1.07^8)+(I6*1.07^7)+(I7*1.07^6)+(I8*1.07^5)+(I9*1.07^4)+(I10*1.07^3)+I11*(((1.07^3)-1)/0.07)</f>
        <v>19070.667184617865</v>
      </c>
      <c r="O9" s="32">
        <f t="shared" si="2"/>
        <v>45546.58055243758</v>
      </c>
      <c r="P9" s="32">
        <f>(O9-K18)/E11</f>
        <v>207.98158310667887</v>
      </c>
    </row>
    <row r="10" spans="1:16" ht="12" customHeight="1">
      <c r="A10" s="70"/>
      <c r="B10" s="24">
        <v>6</v>
      </c>
      <c r="C10" s="29">
        <f>C11*0.75</f>
        <v>45</v>
      </c>
      <c r="D10" s="29">
        <f>C10*E10</f>
        <v>2250</v>
      </c>
      <c r="E10" s="27">
        <f>E11</f>
        <v>50</v>
      </c>
      <c r="F10" s="26">
        <f>F11</f>
        <v>1.5</v>
      </c>
      <c r="G10" s="29">
        <f t="shared" si="3"/>
        <v>3375</v>
      </c>
      <c r="H10" s="29">
        <f>H11</f>
        <v>500</v>
      </c>
      <c r="I10" s="26">
        <f t="shared" si="0"/>
        <v>2875</v>
      </c>
      <c r="J10" s="30">
        <f>1.07^14</f>
        <v>2.578534150201247</v>
      </c>
      <c r="K10" s="31">
        <f t="shared" si="1"/>
        <v>7413.2856818285845</v>
      </c>
      <c r="L10" s="10" t="s">
        <v>11</v>
      </c>
      <c r="M10" s="44">
        <f>K18*1.07^10</f>
        <v>69140.45507864932</v>
      </c>
      <c r="N10" s="45">
        <f>(I5*1.07^9)+(I6*1.07*8)+(I7*1.07^7)+(I8*1.07^6)+(I9*1.07^5)+(I10*1.07^4)+I11*(((1.07^4)-1)/0.07)</f>
        <v>23789.85064372598</v>
      </c>
      <c r="O10" s="32">
        <f t="shared" si="2"/>
        <v>45350.60443492334</v>
      </c>
      <c r="P10" s="32">
        <f>(O10-K18)/E11</f>
        <v>204.06206075639406</v>
      </c>
    </row>
    <row r="11" spans="1:16" ht="12" customHeight="1">
      <c r="A11" s="33" t="s">
        <v>13</v>
      </c>
      <c r="B11" s="34" t="s">
        <v>52</v>
      </c>
      <c r="C11" s="35">
        <f>D11/E11</f>
        <v>60</v>
      </c>
      <c r="D11" s="51">
        <v>3000</v>
      </c>
      <c r="E11" s="49">
        <v>50</v>
      </c>
      <c r="F11" s="50">
        <v>1.5</v>
      </c>
      <c r="G11" s="29">
        <f t="shared" si="3"/>
        <v>4500</v>
      </c>
      <c r="H11" s="51">
        <v>500</v>
      </c>
      <c r="I11" s="26">
        <f t="shared" si="0"/>
        <v>4000</v>
      </c>
      <c r="J11" s="36">
        <f>(((1.07^10)-1)/0.07)*1.07^4</f>
        <v>18.110544860017814</v>
      </c>
      <c r="K11" s="37">
        <f t="shared" si="1"/>
        <v>72442.17944007125</v>
      </c>
      <c r="L11" s="10" t="s">
        <v>32</v>
      </c>
      <c r="M11" s="44">
        <f>K18*1.07^11</f>
        <v>73980.28693415479</v>
      </c>
      <c r="N11" s="45">
        <f>(I5*1.07^10)+(I6*1.07^9)+(I7*1.07^8)+(I8*1.07^7)+(I9*1.07^6)+(I10*1.07^5)+I11*(((1.07^5)-1)/0.07)</f>
        <v>30114.006859668996</v>
      </c>
      <c r="O11" s="32">
        <f t="shared" si="2"/>
        <v>43866.280074485796</v>
      </c>
      <c r="P11" s="32">
        <f>(O11-K18)/E11</f>
        <v>174.37557354764314</v>
      </c>
    </row>
    <row r="12" spans="1:16" ht="12" customHeight="1">
      <c r="A12" s="71" t="s">
        <v>14</v>
      </c>
      <c r="B12" s="17">
        <v>17</v>
      </c>
      <c r="C12" s="29">
        <f>C11*0.95</f>
        <v>57</v>
      </c>
      <c r="D12" s="29">
        <f>C12*E12</f>
        <v>2850</v>
      </c>
      <c r="E12" s="27">
        <f>E11</f>
        <v>50</v>
      </c>
      <c r="F12" s="26">
        <f>F11</f>
        <v>1.5</v>
      </c>
      <c r="G12" s="29">
        <f t="shared" si="3"/>
        <v>4275</v>
      </c>
      <c r="H12" s="29">
        <f>H11</f>
        <v>500</v>
      </c>
      <c r="I12" s="26">
        <f t="shared" si="0"/>
        <v>3775</v>
      </c>
      <c r="J12" s="38">
        <f>1.07^3</f>
        <v>1.225043</v>
      </c>
      <c r="K12" s="39">
        <f t="shared" si="1"/>
        <v>4624.537325</v>
      </c>
      <c r="L12" s="10" t="s">
        <v>33</v>
      </c>
      <c r="M12" s="44">
        <f>K18*1.07^12</f>
        <v>79158.90701954562</v>
      </c>
      <c r="N12" s="48">
        <f>(I5*1.07^11)+(I6*1.07^10)+(I7*1.07^9)+(I8*1.07^8)+(I9*1.07^7)+(I10*1.07^6)+I11*(((1.07^6)-1)/0.07)</f>
        <v>36221.987339845815</v>
      </c>
      <c r="O12" s="32">
        <f t="shared" si="2"/>
        <v>42936.9196796998</v>
      </c>
      <c r="P12" s="32">
        <f>(O12-K18)/E11</f>
        <v>155.78836565192324</v>
      </c>
    </row>
    <row r="13" spans="1:16" ht="12" customHeight="1">
      <c r="A13" s="72"/>
      <c r="B13" s="17">
        <v>18</v>
      </c>
      <c r="C13" s="29">
        <f>C11*0.9</f>
        <v>54</v>
      </c>
      <c r="D13" s="29">
        <f>C13*E13</f>
        <v>2700</v>
      </c>
      <c r="E13" s="27">
        <f>E11</f>
        <v>50</v>
      </c>
      <c r="F13" s="26">
        <f>F11</f>
        <v>1.5</v>
      </c>
      <c r="G13" s="29">
        <f t="shared" si="3"/>
        <v>4050</v>
      </c>
      <c r="H13" s="29">
        <f>H11</f>
        <v>500</v>
      </c>
      <c r="I13" s="26">
        <f t="shared" si="0"/>
        <v>3550</v>
      </c>
      <c r="J13" s="38">
        <f>1.07^2</f>
        <v>1.1449</v>
      </c>
      <c r="K13" s="39">
        <f t="shared" si="1"/>
        <v>4064.395</v>
      </c>
      <c r="L13" s="10" t="s">
        <v>34</v>
      </c>
      <c r="M13" s="44">
        <f>K18*1.07^13</f>
        <v>84700.03051091381</v>
      </c>
      <c r="N13" s="45">
        <f>(I5*1.07^12)+(I6*1.07^11)+(I7*1.07^10)+(I8*1.07^9)+(I9*1.07^8)+(I10*1.07^7)+I11*(((1.07^7)-1)/0.07)</f>
        <v>42757.52645363503</v>
      </c>
      <c r="O13" s="32">
        <f t="shared" si="2"/>
        <v>41942.504057278784</v>
      </c>
      <c r="P13" s="32">
        <f>(O13-K18)/E11</f>
        <v>135.9000532035029</v>
      </c>
    </row>
    <row r="14" spans="1:16" ht="12" customHeight="1">
      <c r="A14" s="72"/>
      <c r="B14" s="17">
        <v>19</v>
      </c>
      <c r="C14" s="29">
        <f>C11*0.85</f>
        <v>51</v>
      </c>
      <c r="D14" s="29">
        <f>C14*E14</f>
        <v>2550</v>
      </c>
      <c r="E14" s="27">
        <f>E11</f>
        <v>50</v>
      </c>
      <c r="F14" s="26">
        <f>F11</f>
        <v>1.5</v>
      </c>
      <c r="G14" s="29">
        <f t="shared" si="3"/>
        <v>3825</v>
      </c>
      <c r="H14" s="29">
        <f>H11</f>
        <v>500</v>
      </c>
      <c r="I14" s="26">
        <f t="shared" si="0"/>
        <v>3325</v>
      </c>
      <c r="J14" s="38">
        <f>1.07^1</f>
        <v>1.07</v>
      </c>
      <c r="K14" s="39">
        <f t="shared" si="1"/>
        <v>3557.75</v>
      </c>
      <c r="L14" s="10" t="s">
        <v>35</v>
      </c>
      <c r="M14" s="44">
        <f>K18*1.07^14</f>
        <v>90629.03264667776</v>
      </c>
      <c r="N14" s="45">
        <f>(I5*1.07^13)+(I6*1.07^12)+(I7*1.07^11)+(I8*1.07^10)+(I9*1.07^9)+(I10*1.07^8)+I11*(((1.07^8)-1)/0.07)</f>
        <v>49750.553305389476</v>
      </c>
      <c r="O14" s="32">
        <f t="shared" si="2"/>
        <v>40878.47934128829</v>
      </c>
      <c r="P14" s="32">
        <f>(O14-K18)/E11</f>
        <v>114.61955888369295</v>
      </c>
    </row>
    <row r="15" spans="1:16" ht="12" customHeight="1">
      <c r="A15" s="73"/>
      <c r="B15" s="17">
        <v>20</v>
      </c>
      <c r="C15" s="29">
        <f>C11*0.8</f>
        <v>48</v>
      </c>
      <c r="D15" s="29">
        <f>C15*E15</f>
        <v>2400</v>
      </c>
      <c r="E15" s="27">
        <f>E11</f>
        <v>50</v>
      </c>
      <c r="F15" s="26">
        <f>F11</f>
        <v>1.5</v>
      </c>
      <c r="G15" s="29">
        <f t="shared" si="3"/>
        <v>3600</v>
      </c>
      <c r="H15" s="29">
        <f>H11</f>
        <v>500</v>
      </c>
      <c r="I15" s="26">
        <f t="shared" si="0"/>
        <v>3100</v>
      </c>
      <c r="J15" s="30">
        <v>1</v>
      </c>
      <c r="K15" s="39">
        <f t="shared" si="1"/>
        <v>3100</v>
      </c>
      <c r="L15" s="10" t="s">
        <v>22</v>
      </c>
      <c r="M15" s="44">
        <f>K18*1.07^15</f>
        <v>96973.06493194522</v>
      </c>
      <c r="N15" s="45">
        <f>(I5*1.07^14)+(I6*1.07^13)+(I7*1.07^12)+(I8*1.07^11)+(I9*1.07^10)+(I10*1.07^9)+I11*(((1.07^9)-1)/0.07)</f>
        <v>57233.09203676676</v>
      </c>
      <c r="O15" s="32">
        <f t="shared" si="2"/>
        <v>39739.972895178464</v>
      </c>
      <c r="P15" s="32">
        <f>(O15-K18)/E11</f>
        <v>91.8494299614965</v>
      </c>
    </row>
    <row r="16" spans="1:16" ht="14.25">
      <c r="A16" s="66" t="s">
        <v>39</v>
      </c>
      <c r="B16" s="66"/>
      <c r="C16" s="66"/>
      <c r="D16" s="66"/>
      <c r="E16" s="66"/>
      <c r="F16" s="66"/>
      <c r="G16" s="66"/>
      <c r="H16" s="66"/>
      <c r="I16" s="66"/>
      <c r="J16" s="66"/>
      <c r="K16" s="39">
        <f>SUM(K5:K15)</f>
        <v>100862.2386544796</v>
      </c>
      <c r="L16" s="10"/>
      <c r="M16" s="44"/>
      <c r="N16" s="45"/>
      <c r="O16" s="32"/>
      <c r="P16" s="32"/>
    </row>
    <row r="17" spans="1:16" ht="14.25">
      <c r="A17" s="66" t="s">
        <v>53</v>
      </c>
      <c r="B17" s="66"/>
      <c r="C17" s="66"/>
      <c r="D17" s="66"/>
      <c r="E17" s="66"/>
      <c r="F17" s="66"/>
      <c r="G17" s="66"/>
      <c r="H17" s="66"/>
      <c r="I17" s="66"/>
      <c r="J17" s="66"/>
      <c r="K17" s="40">
        <f>(1/((1.07^20)-1))</f>
        <v>0.3484703677607956</v>
      </c>
      <c r="L17" s="10"/>
      <c r="M17" s="44"/>
      <c r="N17" s="45"/>
      <c r="O17" s="32"/>
      <c r="P17" s="32"/>
    </row>
    <row r="18" spans="1:16" ht="13.5">
      <c r="A18" s="66" t="s">
        <v>40</v>
      </c>
      <c r="B18" s="66"/>
      <c r="C18" s="66"/>
      <c r="D18" s="66"/>
      <c r="E18" s="66"/>
      <c r="F18" s="66"/>
      <c r="G18" s="66"/>
      <c r="H18" s="66"/>
      <c r="I18" s="66"/>
      <c r="J18" s="66"/>
      <c r="K18" s="41">
        <f>K17*K16</f>
        <v>35147.50139710364</v>
      </c>
      <c r="L18" s="10"/>
      <c r="M18" s="44"/>
      <c r="N18" s="45"/>
      <c r="O18" s="32"/>
      <c r="P18" s="32"/>
    </row>
    <row r="19" spans="1:16" ht="14.25" customHeight="1">
      <c r="A19" s="67" t="s">
        <v>41</v>
      </c>
      <c r="B19" s="67"/>
      <c r="C19" s="67"/>
      <c r="D19" s="67"/>
      <c r="E19" s="67"/>
      <c r="F19" s="67"/>
      <c r="G19" s="67"/>
      <c r="H19" s="67"/>
      <c r="I19" s="67"/>
      <c r="J19" s="67"/>
      <c r="K19" s="42">
        <f>0.07/((1.07^20)-1)</f>
        <v>0.024392925743255692</v>
      </c>
      <c r="L19" s="10"/>
      <c r="M19" s="44"/>
      <c r="N19" s="45"/>
      <c r="O19" s="32"/>
      <c r="P19" s="32"/>
    </row>
    <row r="20" spans="1:16" ht="12.75">
      <c r="A20" s="66" t="s">
        <v>50</v>
      </c>
      <c r="B20" s="66"/>
      <c r="C20" s="66"/>
      <c r="D20" s="66"/>
      <c r="E20" s="66"/>
      <c r="F20" s="66"/>
      <c r="G20" s="66"/>
      <c r="H20" s="66"/>
      <c r="I20" s="66"/>
      <c r="J20" s="66"/>
      <c r="K20" s="43">
        <f>K19*K16</f>
        <v>2460.325097797255</v>
      </c>
      <c r="L20" s="10"/>
      <c r="M20" s="44"/>
      <c r="N20" s="45"/>
      <c r="O20" s="32"/>
      <c r="P20" s="32"/>
    </row>
  </sheetData>
  <sheetProtection/>
  <mergeCells count="20">
    <mergeCell ref="L2:P2"/>
    <mergeCell ref="A1:O1"/>
    <mergeCell ref="A2:A4"/>
    <mergeCell ref="B2:B4"/>
    <mergeCell ref="C2:D2"/>
    <mergeCell ref="E2:E3"/>
    <mergeCell ref="F2:F3"/>
    <mergeCell ref="G2:G3"/>
    <mergeCell ref="H2:H3"/>
    <mergeCell ref="I2:I3"/>
    <mergeCell ref="K2:K3"/>
    <mergeCell ref="A5:A7"/>
    <mergeCell ref="A8:A10"/>
    <mergeCell ref="A12:A15"/>
    <mergeCell ref="J2:J3"/>
    <mergeCell ref="A18:J18"/>
    <mergeCell ref="A19:J19"/>
    <mergeCell ref="A20:J20"/>
    <mergeCell ref="A16:J16"/>
    <mergeCell ref="A17:J17"/>
  </mergeCells>
  <printOptions/>
  <pageMargins left="0.75" right="0.75" top="1" bottom="1" header="0.5" footer="0.5"/>
  <pageSetup orientation="portrait" paperSize="9"/>
  <drawing r:id="rId5"/>
  <legacyDrawing r:id="rId4"/>
  <oleObjects>
    <oleObject progId="Equation.3" shapeId="177546586" r:id="rId1"/>
    <oleObject progId="Equation.3" shapeId="177546585" r:id="rId2"/>
    <oleObject progId="Equation.3" shapeId="17754658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75390625" style="6" bestFit="1" customWidth="1"/>
    <col min="2" max="2" width="10.00390625" style="6" bestFit="1" customWidth="1"/>
    <col min="3" max="3" width="7.00390625" style="6" bestFit="1" customWidth="1"/>
    <col min="4" max="4" width="9.125" style="6" customWidth="1"/>
    <col min="5" max="5" width="11.75390625" style="6" customWidth="1"/>
    <col min="6" max="7" width="10.25390625" style="6" customWidth="1"/>
    <col min="8" max="16384" width="9.125" style="6" customWidth="1"/>
  </cols>
  <sheetData>
    <row r="1" ht="12.75">
      <c r="A1" s="6" t="s">
        <v>54</v>
      </c>
    </row>
    <row r="2" spans="1:7" ht="12.75" customHeight="1">
      <c r="A2" s="91" t="s">
        <v>15</v>
      </c>
      <c r="B2" s="90" t="s">
        <v>21</v>
      </c>
      <c r="C2" s="90"/>
      <c r="D2" s="90"/>
      <c r="E2" s="90" t="s">
        <v>55</v>
      </c>
      <c r="F2" s="90"/>
      <c r="G2" s="90"/>
    </row>
    <row r="3" spans="1:7" s="7" customFormat="1" ht="55.5" customHeight="1">
      <c r="A3" s="91"/>
      <c r="B3" s="1" t="s">
        <v>16</v>
      </c>
      <c r="C3" s="1" t="s">
        <v>17</v>
      </c>
      <c r="D3" s="1" t="s">
        <v>18</v>
      </c>
      <c r="E3" s="1" t="s">
        <v>19</v>
      </c>
      <c r="F3" s="1" t="s">
        <v>43</v>
      </c>
      <c r="G3" s="1" t="s">
        <v>44</v>
      </c>
    </row>
    <row r="4" spans="1:7" s="8" customFormat="1" ht="21.75" customHeight="1">
      <c r="A4" s="3" t="s">
        <v>20</v>
      </c>
      <c r="B4" s="3" t="s">
        <v>25</v>
      </c>
      <c r="C4" s="3" t="s">
        <v>25</v>
      </c>
      <c r="D4" s="3" t="s">
        <v>25</v>
      </c>
      <c r="E4" s="3"/>
      <c r="F4" s="3" t="s">
        <v>9</v>
      </c>
      <c r="G4" s="3" t="s">
        <v>24</v>
      </c>
    </row>
    <row r="5" spans="1:7" ht="12.75">
      <c r="A5" s="3">
        <v>1</v>
      </c>
      <c r="B5" s="5">
        <f>'Değerler%5,0'!H5</f>
        <v>100</v>
      </c>
      <c r="C5" s="53">
        <v>75</v>
      </c>
      <c r="D5" s="5">
        <f>C5+B5</f>
        <v>175</v>
      </c>
      <c r="E5" s="5">
        <f>D5</f>
        <v>175</v>
      </c>
      <c r="F5" s="4">
        <f>'Değerler%6,5'!$E$11</f>
        <v>50</v>
      </c>
      <c r="G5" s="9">
        <f>E5/F5</f>
        <v>3.5</v>
      </c>
    </row>
    <row r="6" spans="1:7" ht="12.75">
      <c r="A6" s="3">
        <v>2</v>
      </c>
      <c r="B6" s="5">
        <f>'Değerler%5,0'!H6</f>
        <v>90</v>
      </c>
      <c r="C6" s="2">
        <f>C5</f>
        <v>75</v>
      </c>
      <c r="D6" s="5">
        <f>C6+B6</f>
        <v>165</v>
      </c>
      <c r="E6" s="5">
        <f>(D5*1.065)+D6</f>
        <v>351.375</v>
      </c>
      <c r="F6" s="4">
        <f>'Değerler%6,5'!$E$11</f>
        <v>50</v>
      </c>
      <c r="G6" s="9">
        <f>E6/F6</f>
        <v>7.0275</v>
      </c>
    </row>
    <row r="7" spans="1:7" ht="12.75">
      <c r="A7" s="3">
        <v>3</v>
      </c>
      <c r="B7" s="5">
        <f>'Değerler%5,0'!H7</f>
        <v>110</v>
      </c>
      <c r="C7" s="2">
        <f>C5</f>
        <v>75</v>
      </c>
      <c r="D7" s="5">
        <f>C7+B7</f>
        <v>185</v>
      </c>
      <c r="E7" s="5">
        <f>D5*1.065^2+D6*1.065^1+D7</f>
        <v>559.214375</v>
      </c>
      <c r="F7" s="4">
        <f>'Değerler%6,5'!$E$11</f>
        <v>50</v>
      </c>
      <c r="G7" s="9">
        <f>E7/F7</f>
        <v>11.1842875</v>
      </c>
    </row>
  </sheetData>
  <sheetProtection/>
  <mergeCells count="3">
    <mergeCell ref="E2:G2"/>
    <mergeCell ref="A2:A3"/>
    <mergeCell ref="B2:D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Equation.3" shapeId="1775465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ANKARA ÜNİVERSİTESİ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ANKARA</dc:creator>
  <cp:keywords/>
  <dc:description/>
  <cp:lastModifiedBy>Hilal</cp:lastModifiedBy>
  <cp:lastPrinted>2010-04-27T09:11:41Z</cp:lastPrinted>
  <dcterms:created xsi:type="dcterms:W3CDTF">2008-03-20T14:10:04Z</dcterms:created>
  <dcterms:modified xsi:type="dcterms:W3CDTF">2000-01-17T06:18:32Z</dcterms:modified>
  <cp:category/>
  <cp:version/>
  <cp:contentType/>
  <cp:contentStatus/>
</cp:coreProperties>
</file>